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quickStyle2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iagrams/data2.xml" ContentType="application/vnd.openxmlformats-officedocument.drawingml.diagramData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emf" ContentType="image/x-emf"/>
  <Override PartName="/xl/diagrams/colors2.xml" ContentType="application/vnd.openxmlformats-officedocument.drawingml.diagramColor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2.xml" ContentType="application/vnd.openxmlformats-officedocument.drawingml.diagramLayou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725" tabRatio="637" activeTab="2"/>
  </bookViews>
  <sheets>
    <sheet name="KPI" sheetId="2" r:id="rId1"/>
    <sheet name="Actual" sheetId="83" r:id="rId2"/>
    <sheet name="Baseline" sheetId="82" r:id="rId3"/>
    <sheet name="Level1" sheetId="81" state="hidden" r:id="rId4"/>
    <sheet name="Cost Assignment" sheetId="79" r:id="rId5"/>
    <sheet name="HSE&amp;Quality" sheetId="52" r:id="rId6"/>
    <sheet name="Manpower Curve" sheetId="69" r:id="rId7"/>
    <sheet name="Milestones" sheetId="75" r:id="rId8"/>
  </sheets>
  <definedNames>
    <definedName name="_xlnm._FilterDatabase" localSheetId="2" hidden="1">Baseline!$A$3:$AL$21</definedName>
    <definedName name="_xlnm.Print_Area" localSheetId="5">'HSE&amp;Quality'!$A$1:$AM$55</definedName>
    <definedName name="_xlnm.Print_Area" localSheetId="0">KPI!$A$1:$Y$53</definedName>
  </definedNames>
  <calcPr calcId="124519"/>
</workbook>
</file>

<file path=xl/calcChain.xml><?xml version="1.0" encoding="utf-8"?>
<calcChain xmlns="http://schemas.openxmlformats.org/spreadsheetml/2006/main">
  <c r="E11" i="2"/>
  <c r="E14"/>
  <c r="E15"/>
  <c r="E13"/>
  <c r="E12"/>
  <c r="E10"/>
  <c r="E48" i="83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D49"/>
  <c r="D50"/>
  <c r="D51"/>
  <c r="D52"/>
  <c r="D53"/>
  <c r="D54"/>
  <c r="D55"/>
  <c r="D56"/>
  <c r="D57"/>
  <c r="D58"/>
  <c r="D59"/>
  <c r="D60"/>
  <c r="D61"/>
  <c r="D62"/>
  <c r="D63"/>
  <c r="D64"/>
  <c r="D65"/>
  <c r="D48"/>
  <c r="AG85" i="2"/>
  <c r="AE80"/>
  <c r="AE79"/>
  <c r="AD68"/>
  <c r="AD85"/>
  <c r="AD84"/>
  <c r="AD83"/>
  <c r="AD82"/>
  <c r="AD81"/>
  <c r="AD80"/>
  <c r="AF80" s="1"/>
  <c r="D48" s="1"/>
  <c r="AD79"/>
  <c r="AF79" s="1"/>
  <c r="D47" s="1"/>
  <c r="AD78"/>
  <c r="AD77"/>
  <c r="AD76"/>
  <c r="AD75"/>
  <c r="AD74"/>
  <c r="AD73"/>
  <c r="AD72"/>
  <c r="AD71"/>
  <c r="AD70"/>
  <c r="AD69"/>
  <c r="AB35"/>
  <c r="AE49" l="1"/>
  <c r="AE50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B36"/>
  <c r="E48" i="82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5"/>
  <c r="D49"/>
  <c r="D50"/>
  <c r="D51"/>
  <c r="D52"/>
  <c r="D53"/>
  <c r="D54"/>
  <c r="D55"/>
  <c r="D56"/>
  <c r="D57"/>
  <c r="D58"/>
  <c r="D59"/>
  <c r="D60"/>
  <c r="D61"/>
  <c r="D62"/>
  <c r="D63"/>
  <c r="D64"/>
  <c r="D48"/>
  <c r="AL29" i="2"/>
  <c r="AL21"/>
  <c r="B48" i="82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AK38" i="2" l="1"/>
  <c r="AJ33" s="1"/>
  <c r="AK43" i="8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AC37" i="2" s="1"/>
  <c r="H43" i="83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AG82" i="2" s="1"/>
  <c r="H40" i="83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AG81" i="2" s="1"/>
  <c r="H39" i="83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AG80" i="2" s="1"/>
  <c r="AH80" s="1"/>
  <c r="E48" s="1"/>
  <c r="G48" s="1"/>
  <c r="H48" s="1"/>
  <c r="I48" s="1"/>
  <c r="H38" i="83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AG76" i="2" s="1"/>
  <c r="H34" i="8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AG75" i="2" s="1"/>
  <c r="H33" i="83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AG73" i="2" s="1"/>
  <c r="H31" i="83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AG72" i="2" s="1"/>
  <c r="H30" i="83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AG70" i="2" s="1"/>
  <c r="H28" i="83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AG68" i="2" s="1"/>
  <c r="H26" i="83"/>
  <c r="B26" i="82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AD6" i="2"/>
  <c r="AD7" s="1"/>
  <c r="AD5"/>
  <c r="AI61" i="8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26" i="82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D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28"/>
  <c r="D29"/>
  <c r="D30"/>
  <c r="D31"/>
  <c r="D32"/>
  <c r="D33"/>
  <c r="D34"/>
  <c r="D35"/>
  <c r="D36"/>
  <c r="D37"/>
  <c r="D38"/>
  <c r="D39"/>
  <c r="D40"/>
  <c r="D41"/>
  <c r="D42"/>
  <c r="D43"/>
  <c r="D27"/>
  <c r="C19" i="8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B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B21"/>
  <c r="B22"/>
  <c r="B23"/>
  <c r="B24"/>
  <c r="B25"/>
  <c r="B26"/>
  <c r="B27"/>
  <c r="B28"/>
  <c r="B29"/>
  <c r="B30"/>
  <c r="B20"/>
  <c r="E1" i="79"/>
  <c r="D19"/>
  <c r="AE76" i="2" s="1"/>
  <c r="AF76" s="1"/>
  <c r="D44" s="1"/>
  <c r="AK23"/>
  <c r="AL23" s="1"/>
  <c r="AL36"/>
  <c r="D32" i="79" s="1"/>
  <c r="AE84" i="2" s="1"/>
  <c r="AF84" s="1"/>
  <c r="D52" s="1"/>
  <c r="AL37"/>
  <c r="AL35"/>
  <c r="D30" i="79" s="1"/>
  <c r="AE83" i="2" s="1"/>
  <c r="AF83" s="1"/>
  <c r="D51" s="1"/>
  <c r="AL34"/>
  <c r="D28" i="79" s="1"/>
  <c r="AE82" i="2" s="1"/>
  <c r="AF82" s="1"/>
  <c r="D50" s="1"/>
  <c r="AL33"/>
  <c r="D23" i="79" s="1"/>
  <c r="AE78" i="2" s="1"/>
  <c r="AF78" s="1"/>
  <c r="D46" s="1"/>
  <c r="AL32"/>
  <c r="AL31"/>
  <c r="D18" i="79" s="1"/>
  <c r="AE75" i="2" s="1"/>
  <c r="AF75" s="1"/>
  <c r="D43" s="1"/>
  <c r="AL30"/>
  <c r="AL22"/>
  <c r="D13" i="79" s="1"/>
  <c r="AE72" i="2" s="1"/>
  <c r="AF72" s="1"/>
  <c r="D40" s="1"/>
  <c r="AL24"/>
  <c r="D21" i="79" s="1"/>
  <c r="AE77" i="2" s="1"/>
  <c r="AF77" s="1"/>
  <c r="D45" s="1"/>
  <c r="D8" i="79"/>
  <c r="AE69" i="2" s="1"/>
  <c r="AF69" s="1"/>
  <c r="D37" s="1"/>
  <c r="AH82" l="1"/>
  <c r="E50" s="1"/>
  <c r="G50" s="1"/>
  <c r="H50" s="1"/>
  <c r="I50" s="1"/>
  <c r="AH81"/>
  <c r="E49" s="1"/>
  <c r="AH76"/>
  <c r="E44" s="1"/>
  <c r="G44" s="1"/>
  <c r="I44" s="1"/>
  <c r="AH75"/>
  <c r="E43" s="1"/>
  <c r="G43" s="1"/>
  <c r="H43" s="1"/>
  <c r="I43" s="1"/>
  <c r="AH72"/>
  <c r="E40" s="1"/>
  <c r="G40" s="1"/>
  <c r="H40" s="1"/>
  <c r="I40" s="1"/>
  <c r="AG74"/>
  <c r="AC31"/>
  <c r="AG78"/>
  <c r="AH78" s="1"/>
  <c r="E46" s="1"/>
  <c r="G46" s="1"/>
  <c r="H46" s="1"/>
  <c r="I46" s="1"/>
  <c r="AC33"/>
  <c r="AG69"/>
  <c r="AH69" s="1"/>
  <c r="E37" s="1"/>
  <c r="G37" s="1"/>
  <c r="H37" s="1"/>
  <c r="I37" s="1"/>
  <c r="AC29"/>
  <c r="AG77"/>
  <c r="AH77" s="1"/>
  <c r="E45" s="1"/>
  <c r="G45" s="1"/>
  <c r="I45" s="1"/>
  <c r="AC32"/>
  <c r="AG84"/>
  <c r="AH84" s="1"/>
  <c r="E52" s="1"/>
  <c r="G52" s="1"/>
  <c r="H52" s="1"/>
  <c r="I52" s="1"/>
  <c r="AC36"/>
  <c r="AG71"/>
  <c r="AC30"/>
  <c r="AC22" s="1"/>
  <c r="AG79"/>
  <c r="AH79" s="1"/>
  <c r="E47" s="1"/>
  <c r="G47" s="1"/>
  <c r="H47" s="1"/>
  <c r="I47" s="1"/>
  <c r="AC34"/>
  <c r="AG83"/>
  <c r="AH83" s="1"/>
  <c r="E51" s="1"/>
  <c r="G51" s="1"/>
  <c r="H51" s="1"/>
  <c r="I51" s="1"/>
  <c r="AC35"/>
  <c r="AE57"/>
  <c r="AE45"/>
  <c r="AE53"/>
  <c r="AE54"/>
  <c r="AE51"/>
  <c r="AE47"/>
  <c r="AE46"/>
  <c r="AE60"/>
  <c r="AE52"/>
  <c r="D17" i="79"/>
  <c r="AE74" i="2" s="1"/>
  <c r="AF74" s="1"/>
  <c r="D42" s="1"/>
  <c r="AL38"/>
  <c r="D34" i="79"/>
  <c r="AE85" i="2" s="1"/>
  <c r="AC24"/>
  <c r="AJ32"/>
  <c r="AJ36"/>
  <c r="AJ34"/>
  <c r="AJ35"/>
  <c r="AJ37"/>
  <c r="AJ29"/>
  <c r="AJ30"/>
  <c r="AJ31"/>
  <c r="D25" i="79"/>
  <c r="D27"/>
  <c r="AE81" i="2" s="1"/>
  <c r="AF81" s="1"/>
  <c r="D49" s="1"/>
  <c r="D26" i="79"/>
  <c r="D15"/>
  <c r="AE73" i="2" s="1"/>
  <c r="AF73" s="1"/>
  <c r="D41" s="1"/>
  <c r="AL25"/>
  <c r="D12" i="79"/>
  <c r="AE71" i="2" s="1"/>
  <c r="AF71" s="1"/>
  <c r="D39" s="1"/>
  <c r="D10" i="79"/>
  <c r="AE70" i="2" s="1"/>
  <c r="AF70" s="1"/>
  <c r="D38" s="1"/>
  <c r="AH74" l="1"/>
  <c r="E42" s="1"/>
  <c r="G42" s="1"/>
  <c r="H42" s="1"/>
  <c r="I42" s="1"/>
  <c r="AH73"/>
  <c r="E41" s="1"/>
  <c r="G41" s="1"/>
  <c r="H41" s="1"/>
  <c r="I41" s="1"/>
  <c r="G49"/>
  <c r="I49" s="1"/>
  <c r="AF85"/>
  <c r="D53" s="1"/>
  <c r="AH85"/>
  <c r="E53" s="1"/>
  <c r="AH71"/>
  <c r="E39" s="1"/>
  <c r="G39" s="1"/>
  <c r="H39" s="1"/>
  <c r="I39" s="1"/>
  <c r="AH70"/>
  <c r="E38" s="1"/>
  <c r="G38" s="1"/>
  <c r="H38" s="1"/>
  <c r="I38" s="1"/>
  <c r="AE36"/>
  <c r="AI36" s="1"/>
  <c r="AC23"/>
  <c r="AE23" s="1"/>
  <c r="AI23" s="1"/>
  <c r="AC38"/>
  <c r="AC21"/>
  <c r="AE21" s="1"/>
  <c r="AI21" s="1"/>
  <c r="AE55"/>
  <c r="AE59"/>
  <c r="AE58"/>
  <c r="AE56"/>
  <c r="AE48"/>
  <c r="AE35"/>
  <c r="AI35" s="1"/>
  <c r="AE32"/>
  <c r="AI32" s="1"/>
  <c r="AE37"/>
  <c r="AI37" s="1"/>
  <c r="AE33"/>
  <c r="AI33" s="1"/>
  <c r="AJ38"/>
  <c r="AE22"/>
  <c r="AI22" s="1"/>
  <c r="AE30"/>
  <c r="AI30" s="1"/>
  <c r="AE24"/>
  <c r="AI24" s="1"/>
  <c r="AE34"/>
  <c r="AI34" s="1"/>
  <c r="AE31"/>
  <c r="AI31" s="1"/>
  <c r="AE29"/>
  <c r="AI29" s="1"/>
  <c r="AF38"/>
  <c r="AG38"/>
  <c r="D1" i="79"/>
  <c r="D15" i="2"/>
  <c r="A15"/>
  <c r="D10"/>
  <c r="D11"/>
  <c r="D12"/>
  <c r="D13"/>
  <c r="D14"/>
  <c r="A10"/>
  <c r="A11"/>
  <c r="A12"/>
  <c r="A13"/>
  <c r="A14"/>
  <c r="D9"/>
  <c r="E9" s="1"/>
  <c r="A9"/>
  <c r="G53" l="1"/>
  <c r="H53" s="1"/>
  <c r="AE44"/>
  <c r="AC25"/>
  <c r="AE25" s="1"/>
  <c r="AD61"/>
  <c r="AE68"/>
  <c r="AE38"/>
  <c r="AB29"/>
  <c r="AD29" s="1"/>
  <c r="AB37"/>
  <c r="AB34"/>
  <c r="AB33"/>
  <c r="AB30"/>
  <c r="AD30" s="1"/>
  <c r="AB32"/>
  <c r="AB31"/>
  <c r="I4"/>
  <c r="C2" i="69" s="1"/>
  <c r="F10" i="2"/>
  <c r="F14"/>
  <c r="F13"/>
  <c r="F12"/>
  <c r="F11"/>
  <c r="F9"/>
  <c r="AK25"/>
  <c r="AI25" l="1"/>
  <c r="AE15"/>
  <c r="I53"/>
  <c r="AF68"/>
  <c r="D36" s="1"/>
  <c r="AH68"/>
  <c r="E36" s="1"/>
  <c r="AD32"/>
  <c r="AH32" s="1"/>
  <c r="AD33"/>
  <c r="AH33" s="1"/>
  <c r="AD35"/>
  <c r="AH35" s="1"/>
  <c r="AD34"/>
  <c r="AH34" s="1"/>
  <c r="AD37"/>
  <c r="AH37" s="1"/>
  <c r="AD36"/>
  <c r="AH36" s="1"/>
  <c r="AD31"/>
  <c r="AH31" s="1"/>
  <c r="AB21"/>
  <c r="AH29"/>
  <c r="AB22"/>
  <c r="AH30"/>
  <c r="AJ25"/>
  <c r="AJ24"/>
  <c r="AJ23"/>
  <c r="AJ22"/>
  <c r="AJ21"/>
  <c r="AI38"/>
  <c r="AB24"/>
  <c r="AB23"/>
  <c r="AD23" s="1"/>
  <c r="AB38"/>
  <c r="F15"/>
  <c r="O4"/>
  <c r="I5"/>
  <c r="AE61" l="1"/>
  <c r="G36"/>
  <c r="H36" s="1"/>
  <c r="AD22"/>
  <c r="AH22" s="1"/>
  <c r="AD38"/>
  <c r="AD24"/>
  <c r="AH24" s="1"/>
  <c r="AD21"/>
  <c r="AH21" s="1"/>
  <c r="AB25"/>
  <c r="AH23"/>
  <c r="AH38"/>
  <c r="O6"/>
  <c r="AD25" l="1"/>
  <c r="AL10" i="52"/>
  <c r="AL5"/>
  <c r="AH25" i="2" l="1"/>
  <c r="AE14"/>
  <c r="AL8" i="52"/>
  <c r="I36" i="2" l="1"/>
  <c r="L4" l="1"/>
  <c r="I6"/>
  <c r="O5" s="1"/>
  <c r="L6" l="1"/>
  <c r="AD23" i="52" l="1"/>
  <c r="AD22"/>
  <c r="AD16"/>
  <c r="AD15"/>
  <c r="AD24"/>
  <c r="AD17"/>
  <c r="AE16" l="1"/>
  <c r="AE24"/>
  <c r="AE23"/>
  <c r="AE17"/>
  <c r="D2" i="69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L5" i="2" l="1"/>
  <c r="AB6" l="1"/>
  <c r="AB4"/>
  <c r="AB5" s="1"/>
  <c r="AB7"/>
  <c r="AC23" i="52" l="1"/>
  <c r="AC24"/>
  <c r="AC22"/>
  <c r="AC16"/>
  <c r="AC17"/>
  <c r="AC15"/>
  <c r="A28" i="2" l="1"/>
</calcChain>
</file>

<file path=xl/sharedStrings.xml><?xml version="1.0" encoding="utf-8"?>
<sst xmlns="http://schemas.openxmlformats.org/spreadsheetml/2006/main" count="630" uniqueCount="270">
  <si>
    <t>Actual %</t>
  </si>
  <si>
    <t>Trend</t>
  </si>
  <si>
    <t>Actual</t>
  </si>
  <si>
    <t>Total</t>
  </si>
  <si>
    <t>Var. (days)</t>
  </si>
  <si>
    <t>Submitted</t>
  </si>
  <si>
    <t>Closed</t>
  </si>
  <si>
    <t>Activity ID</t>
  </si>
  <si>
    <t>Activity Name</t>
  </si>
  <si>
    <t xml:space="preserve">Previous </t>
  </si>
  <si>
    <t>Forecast</t>
  </si>
  <si>
    <t>Baseline</t>
  </si>
  <si>
    <t>PROGRESS S-CURVE</t>
  </si>
  <si>
    <t>NCR</t>
  </si>
  <si>
    <t>HSE STATISTICS</t>
  </si>
  <si>
    <t>HSE STATISTICS OF PROJECT TILL DATE</t>
  </si>
  <si>
    <t>LTIFR</t>
  </si>
  <si>
    <t>RIR</t>
  </si>
  <si>
    <t>SOR</t>
  </si>
  <si>
    <t xml:space="preserve">Current SPI
</t>
  </si>
  <si>
    <t>Difference</t>
  </si>
  <si>
    <t xml:space="preserve">Previous SPI
</t>
  </si>
  <si>
    <t>Open</t>
  </si>
  <si>
    <t>Total Manhours</t>
  </si>
  <si>
    <t>Contract Duration</t>
  </si>
  <si>
    <t>Time Elapsed</t>
  </si>
  <si>
    <t>Forecasted Finish</t>
  </si>
  <si>
    <t xml:space="preserve">% Time Elapsed </t>
  </si>
  <si>
    <t>Contract Start</t>
  </si>
  <si>
    <t>Contract Finish</t>
  </si>
  <si>
    <t>TIME LINE</t>
  </si>
  <si>
    <t xml:space="preserve"> MILESTONE STATUS</t>
  </si>
  <si>
    <t>PROJECT OVERVIEW</t>
  </si>
  <si>
    <t>PROGRESS DATA</t>
  </si>
  <si>
    <t>HSE STATUS</t>
  </si>
  <si>
    <t>Contract</t>
  </si>
  <si>
    <t>Elapsed</t>
  </si>
  <si>
    <t>Remaining</t>
  </si>
  <si>
    <t>% Forecasted Finish</t>
  </si>
  <si>
    <t>Delay</t>
  </si>
  <si>
    <t>w1</t>
  </si>
  <si>
    <t>Week Ending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</si>
  <si>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</si>
  <si>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</si>
  <si>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</si>
  <si>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</si>
  <si>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</si>
  <si>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</si>
  <si>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</si>
  <si>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</si>
  <si>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</si>
  <si>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</si>
  <si>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</si>
  <si>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</si>
  <si>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</si>
  <si>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</si>
  <si>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</si>
  <si>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</si>
  <si>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</si>
  <si>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</si>
  <si>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</si>
  <si>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</si>
  <si>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</si>
  <si>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</si>
  <si>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</si>
  <si>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</si>
  <si>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</si>
  <si>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</si>
  <si>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</si>
  <si>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</si>
  <si>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</si>
  <si>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</si>
  <si>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</si>
  <si>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</si>
  <si>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</si>
  <si>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</si>
  <si>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</si>
  <si>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</si>
  <si>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</si>
  <si>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</si>
  <si>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</si>
  <si>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</si>
  <si>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</si>
  <si>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</si>
  <si>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</si>
  <si>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</si>
  <si>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</si>
  <si>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</si>
  <si>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</si>
  <si>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</si>
  <si>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</si>
  <si>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</si>
  <si>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</si>
  <si>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</si>
  <si>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</si>
  <si>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PROJECT VALUE</t>
  </si>
  <si>
    <t>CLIENT</t>
  </si>
  <si>
    <t>Activity</t>
  </si>
  <si>
    <t>Exceeded beyond contract</t>
  </si>
  <si>
    <t>Nill</t>
  </si>
  <si>
    <t>Overall Construction</t>
  </si>
  <si>
    <t>Mobilization</t>
  </si>
  <si>
    <t>NEM Constructions</t>
  </si>
  <si>
    <t>Earthworks</t>
  </si>
  <si>
    <t>Subgrade &amp; Subbase</t>
  </si>
  <si>
    <t>Pavement</t>
  </si>
  <si>
    <t>Structures</t>
  </si>
  <si>
    <t>Drainage</t>
  </si>
  <si>
    <t>Incidentials</t>
  </si>
  <si>
    <t>Plan</t>
  </si>
  <si>
    <t>Weightage</t>
  </si>
  <si>
    <t>Clearing &amp; Grabing</t>
  </si>
  <si>
    <t>Embankment Filling</t>
  </si>
  <si>
    <t>Wearing Course</t>
  </si>
  <si>
    <t>Viaducts</t>
  </si>
  <si>
    <t>Box Culverts</t>
  </si>
  <si>
    <t>Overpasses</t>
  </si>
  <si>
    <t>Underpasses</t>
  </si>
  <si>
    <t>Incidencials</t>
  </si>
  <si>
    <t>ISSUES &amp; AREAS OF CONCERNS</t>
  </si>
  <si>
    <t>PACKAGE - C</t>
  </si>
  <si>
    <t>CENTRAL EXPRESSWAY PROJECT</t>
  </si>
  <si>
    <t xml:space="preserve">ISSUE </t>
  </si>
  <si>
    <t>RISK CATEGORY</t>
  </si>
  <si>
    <t>ACTION</t>
  </si>
  <si>
    <t>PROGRESS</t>
  </si>
  <si>
    <t>Contract Completion</t>
  </si>
  <si>
    <t xml:space="preserve">Forecast  </t>
  </si>
  <si>
    <t>Milestone</t>
  </si>
  <si>
    <t>CONTRACT NO:</t>
  </si>
  <si>
    <t>SECGEMENT</t>
  </si>
  <si>
    <t>MITIGAMA TO KURUNEGALA</t>
  </si>
  <si>
    <t>XXX</t>
  </si>
  <si>
    <t>RDA</t>
  </si>
  <si>
    <t>Cutting</t>
  </si>
  <si>
    <t>PHYSICAL PROGRESS OF CRITICAL AREAS</t>
  </si>
  <si>
    <t>Contractor LOGO</t>
  </si>
  <si>
    <t>Consultant LOGO</t>
  </si>
  <si>
    <t>Project Start</t>
  </si>
  <si>
    <t>Possession of Site Completion</t>
  </si>
  <si>
    <t>Highway Design Completion</t>
  </si>
  <si>
    <t>Structural Design Completion</t>
  </si>
  <si>
    <t>Earthworks Completion</t>
  </si>
  <si>
    <t>Subbase &amp; Base Course Comletion</t>
  </si>
  <si>
    <t>Road Pavement Completion</t>
  </si>
  <si>
    <t>Structures Completion</t>
  </si>
  <si>
    <t>Project Completion</t>
  </si>
  <si>
    <t>MILESTONE DATA</t>
  </si>
  <si>
    <t>PLAN</t>
  </si>
  <si>
    <t>ACTUAL</t>
  </si>
  <si>
    <t>Mobilization Completion</t>
  </si>
  <si>
    <t xml:space="preserve">Time Remaining /Time Exceeding 
</t>
  </si>
  <si>
    <t>59+000 to 64+000</t>
  </si>
  <si>
    <t>Possetion of Site</t>
  </si>
  <si>
    <t xml:space="preserve">Plan %
</t>
  </si>
  <si>
    <t>MEASURING PARAMETERS</t>
  </si>
  <si>
    <t>SPI 
SCHEDULE PERFORMANCE INDEX</t>
  </si>
  <si>
    <t>CPI
COST PERFORMANCE INDEX</t>
  </si>
  <si>
    <t>ETC
ESTIMATE TO COMPLETE</t>
  </si>
  <si>
    <t>Design</t>
  </si>
  <si>
    <t>Package C</t>
  </si>
  <si>
    <t xml:space="preserve">  MILESTONES</t>
  </si>
  <si>
    <t xml:space="preserve">    A1150</t>
  </si>
  <si>
    <t xml:space="preserve">    A1180</t>
  </si>
  <si>
    <t>Project Finish</t>
  </si>
  <si>
    <t xml:space="preserve">  PRELIMINARIES</t>
  </si>
  <si>
    <t xml:space="preserve">    A1010</t>
  </si>
  <si>
    <t>Prelimnaries</t>
  </si>
  <si>
    <t xml:space="preserve">  MOBILIZATION</t>
  </si>
  <si>
    <t xml:space="preserve">    A1020</t>
  </si>
  <si>
    <t xml:space="preserve">  DESIGN</t>
  </si>
  <si>
    <t xml:space="preserve">    A1130</t>
  </si>
  <si>
    <t>Highway Design</t>
  </si>
  <si>
    <t xml:space="preserve">    A1140</t>
  </si>
  <si>
    <t>Structural Design</t>
  </si>
  <si>
    <t xml:space="preserve">  SITE POSSESSION</t>
  </si>
  <si>
    <t xml:space="preserve">    A1160</t>
  </si>
  <si>
    <t xml:space="preserve">  EARTH WORKS</t>
  </si>
  <si>
    <t xml:space="preserve">    A1030</t>
  </si>
  <si>
    <t xml:space="preserve">    A1040</t>
  </si>
  <si>
    <t xml:space="preserve">    A1050</t>
  </si>
  <si>
    <t xml:space="preserve">  SUB-GRADE &amp; SUB-BASE</t>
  </si>
  <si>
    <t xml:space="preserve">    A1000</t>
  </si>
  <si>
    <t xml:space="preserve">  PAVEMENT</t>
  </si>
  <si>
    <t xml:space="preserve">    A1060</t>
  </si>
  <si>
    <t xml:space="preserve">  STRUCTURES</t>
  </si>
  <si>
    <t xml:space="preserve">    A1070</t>
  </si>
  <si>
    <t xml:space="preserve">    A1080</t>
  </si>
  <si>
    <t xml:space="preserve">    A1090</t>
  </si>
  <si>
    <t xml:space="preserve">    A1100</t>
  </si>
  <si>
    <t xml:space="preserve">  INCIDENCIALS</t>
  </si>
  <si>
    <t xml:space="preserve">    A1120</t>
  </si>
  <si>
    <t xml:space="preserve">  HANDOVER</t>
  </si>
  <si>
    <t xml:space="preserve">    A1170</t>
  </si>
  <si>
    <t>Handover</t>
  </si>
  <si>
    <t>Site Possession &amp; Preliminaries</t>
  </si>
  <si>
    <t xml:space="preserve">  DRAINAGE</t>
  </si>
  <si>
    <t xml:space="preserve">    A1190</t>
  </si>
  <si>
    <t>Drainages</t>
  </si>
  <si>
    <t>Construction</t>
  </si>
  <si>
    <t xml:space="preserve">  WBS: PACKAGE C.5  PRELIMINARIES</t>
  </si>
  <si>
    <t xml:space="preserve">  WBS: PACKAGE C.9  MOBILIZATION</t>
  </si>
  <si>
    <t xml:space="preserve">  WBS: PACKAGE C.1  DESIGN</t>
  </si>
  <si>
    <t xml:space="preserve">  WBS: PACKAGE C.2  SITE POSSESSION</t>
  </si>
  <si>
    <t xml:space="preserve">  WBS: PACKAGE C.10  EARTH WORKS</t>
  </si>
  <si>
    <t xml:space="preserve">  WBS: PACKAGE C.6  SUB-GRADE &amp; SUB-BASE</t>
  </si>
  <si>
    <t xml:space="preserve">  WBS: PACKAGE C.11  PAVEMENT</t>
  </si>
  <si>
    <t xml:space="preserve">  WBS: PACKAGE C.7  STRUCTURES</t>
  </si>
  <si>
    <t xml:space="preserve">  WBS: PACKAGE C.12  DRAINAGE</t>
  </si>
  <si>
    <t xml:space="preserve">  WBS: PACKAGE C.3  INCIDENCIALS</t>
  </si>
  <si>
    <t xml:space="preserve">  WBS: PACKAGE C.4  HANDOVER</t>
  </si>
  <si>
    <t xml:space="preserve">      A1010</t>
  </si>
  <si>
    <t xml:space="preserve">      A1020</t>
  </si>
  <si>
    <t xml:space="preserve">      A1130</t>
  </si>
  <si>
    <t xml:space="preserve">      A1140</t>
  </si>
  <si>
    <t xml:space="preserve">      A1160</t>
  </si>
  <si>
    <t xml:space="preserve">      A1030</t>
  </si>
  <si>
    <t xml:space="preserve">      A1040</t>
  </si>
  <si>
    <t xml:space="preserve">      A1050</t>
  </si>
  <si>
    <t xml:space="preserve">      A1000</t>
  </si>
  <si>
    <t xml:space="preserve">      A1060</t>
  </si>
  <si>
    <t xml:space="preserve">      A1070</t>
  </si>
  <si>
    <t xml:space="preserve">      A1080</t>
  </si>
  <si>
    <t xml:space="preserve">      A1090</t>
  </si>
  <si>
    <t xml:space="preserve">      A1100</t>
  </si>
  <si>
    <t xml:space="preserve">      A1190</t>
  </si>
  <si>
    <t xml:space="preserve">      A1120</t>
  </si>
  <si>
    <t xml:space="preserve">      A1170</t>
  </si>
  <si>
    <t>WBS LEVEL 2</t>
  </si>
  <si>
    <t>WBS LEVEL 3</t>
  </si>
  <si>
    <t>BASELINE - MONTHLY DISTRIBUTION</t>
  </si>
  <si>
    <t>BASELINE -  CUMULATIVE MONTHLY DISTRIBUTION</t>
  </si>
  <si>
    <t>BASELINE -  MONTHLY DISTRIBUTION</t>
  </si>
  <si>
    <t>BASELINE - CUMULATIVE MONTHLY DISTRIBUTION</t>
  </si>
  <si>
    <t>ACTUAL -  MONTHLY DISTRIBUTION</t>
  </si>
  <si>
    <t>ACTUAL - CUMULATIVE MONTHLY DISTRIBUTION</t>
  </si>
  <si>
    <t>ACTUAL - MONTHLY DISTRIBUTION</t>
  </si>
  <si>
    <t>ACTUAL -  CUMULATIVE MONTHLY DISTRIBUTION</t>
  </si>
  <si>
    <t>Cost</t>
  </si>
  <si>
    <t>Percentage</t>
  </si>
  <si>
    <t>Assigned Cost</t>
  </si>
  <si>
    <t>BASELINE -%  CUMULATIVE MONTHLY DISTRIBUTION</t>
  </si>
  <si>
    <t>FATALITIES</t>
  </si>
  <si>
    <t xml:space="preserve">LTI </t>
  </si>
  <si>
    <t>MTC</t>
  </si>
  <si>
    <t>FIRST AID</t>
  </si>
  <si>
    <t>ILL HEALTH</t>
  </si>
  <si>
    <t>NEAR MIS</t>
  </si>
  <si>
    <t>OBSERVATIONS</t>
  </si>
  <si>
    <t>RESOURCE CURVE</t>
  </si>
  <si>
    <t>Completion Date</t>
  </si>
  <si>
    <t xml:space="preserve">STATISTICS </t>
  </si>
  <si>
    <t>Issue 1</t>
  </si>
  <si>
    <t>Issue 2</t>
  </si>
  <si>
    <t>Issue 3</t>
  </si>
  <si>
    <t>Issue 4</t>
  </si>
  <si>
    <t>Issue 5</t>
  </si>
  <si>
    <t>Issue 6</t>
  </si>
  <si>
    <t>Issue 7</t>
  </si>
  <si>
    <t>Issue 8</t>
  </si>
  <si>
    <t>Issue 9</t>
  </si>
  <si>
    <t>Issue 10</t>
  </si>
  <si>
    <t>Issue 11</t>
  </si>
  <si>
    <t>High</t>
  </si>
  <si>
    <t>Mid</t>
  </si>
  <si>
    <t>Low</t>
  </si>
  <si>
    <t>Very High</t>
  </si>
  <si>
    <t>Very Low</t>
  </si>
  <si>
    <t>xxx</t>
  </si>
  <si>
    <t>yyy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</si>
</sst>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[$-409]d\-mmm\-yy;@"/>
    <numFmt numFmtId="167" formatCode="_([$€-2]* #,##0.00_);_([$€-2]* \(#,##0.00\);_([$€-2]* &quot;-&quot;??_)"/>
    <numFmt numFmtId="168" formatCode="_(* #,##0_);_(* \(#,##0\);_(* &quot;-&quot;??_);_(@_)"/>
    <numFmt numFmtId="169" formatCode="&quot;Status as of&quot;\ dd\-mmm\-yy"/>
    <numFmt numFmtId="170" formatCode="&quot;W&quot;##"/>
    <numFmt numFmtId="171" formatCode="m/d;@"/>
    <numFmt numFmtId="172" formatCode="&quot;Total NCR = &quot;\ #"/>
    <numFmt numFmtId="173" formatCode="&quot;Open = &quot;\ #"/>
    <numFmt numFmtId="174" formatCode="&quot;Closed = &quot;\ #"/>
    <numFmt numFmtId="175" formatCode="&quot;Total SOR = &quot;\ #"/>
    <numFmt numFmtId="176" formatCode="0.0%"/>
    <numFmt numFmtId="177" formatCode="#\ &quot;days&quot;"/>
    <numFmt numFmtId="178" formatCode="[$QAR]\ #,##0.00"/>
    <numFmt numFmtId="179" formatCode="0.000"/>
    <numFmt numFmtId="180" formatCode="[$LKR]\ #,##0.00"/>
    <numFmt numFmtId="181" formatCode="[$-409]dd\-mmm\-yy;@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9"/>
      <name val="Calibri"/>
      <family val="2"/>
    </font>
    <font>
      <sz val="22"/>
      <color indexed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Eras Bold ITC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6"/>
      <color indexed="9"/>
      <name val="Calibri"/>
      <family val="2"/>
    </font>
    <font>
      <b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24"/>
      <color indexed="9"/>
      <name val="Eras Bold ITC"/>
      <family val="2"/>
    </font>
    <font>
      <b/>
      <sz val="20"/>
      <color rgb="FFFF0000"/>
      <name val="Calibri"/>
      <family val="2"/>
      <scheme val="minor"/>
    </font>
    <font>
      <sz val="24"/>
      <color theme="1"/>
      <name val="Calibri"/>
      <family val="2"/>
    </font>
    <font>
      <b/>
      <strike/>
      <sz val="14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strike/>
      <sz val="24"/>
      <color theme="1"/>
      <name val="Calibri"/>
      <family val="2"/>
    </font>
    <font>
      <b/>
      <sz val="22"/>
      <color theme="0"/>
      <name val="Eras Bold ITC"/>
      <family val="2"/>
    </font>
    <font>
      <b/>
      <sz val="24"/>
      <color rgb="FFFFFF00"/>
      <name val="Calibri"/>
      <family val="2"/>
    </font>
    <font>
      <sz val="12"/>
      <color rgb="FFFFFF00"/>
      <name val="Calibri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FF0000"/>
      <name val="Calibri"/>
      <family val="2"/>
    </font>
    <font>
      <b/>
      <sz val="22"/>
      <color theme="1"/>
      <name val="Wingdings"/>
      <charset val="2"/>
    </font>
    <font>
      <sz val="22"/>
      <color indexed="8"/>
      <name val="Wingdings"/>
      <charset val="2"/>
    </font>
    <font>
      <b/>
      <sz val="16"/>
      <color rgb="FFFF0000"/>
      <name val="Calibri"/>
      <family val="2"/>
    </font>
    <font>
      <b/>
      <sz val="16"/>
      <color theme="6" tint="-0.499984740745262"/>
      <name val="Calibri"/>
      <family val="2"/>
    </font>
    <font>
      <b/>
      <sz val="24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EFCFE"/>
        <bgColor indexed="64"/>
      </patternFill>
    </fill>
    <fill>
      <patternFill patternType="solid">
        <fgColor rgb="FF0000FF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FF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15">
    <xf numFmtId="0" fontId="0" fillId="0" borderId="0"/>
    <xf numFmtId="165" fontId="3" fillId="0" borderId="0" applyFont="0" applyFill="0" applyBorder="0" applyAlignment="0" applyProtection="0"/>
    <xf numFmtId="4" fontId="8" fillId="0" borderId="1" applyFont="0" applyFill="0" applyBorder="0" applyAlignment="0">
      <alignment horizontal="center" vertical="center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2" applyNumberFormat="0" applyBorder="0" applyAlignment="0" applyProtection="0">
      <protection locked="0"/>
    </xf>
    <xf numFmtId="0" fontId="7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1" fillId="0" borderId="3" applyBorder="0">
      <alignment horizontal="right" wrapText="1"/>
    </xf>
    <xf numFmtId="4" fontId="11" fillId="0" borderId="4" applyBorder="0">
      <alignment horizontal="right" wrapText="1"/>
    </xf>
    <xf numFmtId="9" fontId="20" fillId="0" borderId="0" applyFont="0" applyFill="0" applyBorder="0" applyAlignment="0" applyProtection="0"/>
    <xf numFmtId="4" fontId="8" fillId="0" borderId="16" applyFont="0" applyFill="0" applyBorder="0" applyAlignment="0">
      <alignment horizontal="center" vertical="center"/>
    </xf>
    <xf numFmtId="4" fontId="8" fillId="0" borderId="16" applyFont="0" applyFill="0" applyBorder="0" applyAlignment="0">
      <alignment horizontal="center" vertical="center"/>
    </xf>
    <xf numFmtId="3" fontId="11" fillId="0" borderId="17" applyBorder="0">
      <alignment horizontal="right" wrapText="1"/>
    </xf>
    <xf numFmtId="4" fontId="11" fillId="0" borderId="18" applyBorder="0">
      <alignment horizontal="right" wrapText="1"/>
    </xf>
    <xf numFmtId="4" fontId="8" fillId="0" borderId="16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4" fontId="8" fillId="0" borderId="16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8" fillId="0" borderId="16" applyFont="0" applyFill="0" applyBorder="0" applyAlignment="0">
      <alignment horizontal="center" vertical="center"/>
    </xf>
    <xf numFmtId="4" fontId="11" fillId="0" borderId="19" applyBorder="0">
      <alignment horizontal="right" wrapText="1"/>
    </xf>
    <xf numFmtId="4" fontId="8" fillId="0" borderId="16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8" fillId="0" borderId="16" applyFont="0" applyFill="0" applyBorder="0" applyAlignment="0">
      <alignment horizontal="center" vertical="center"/>
    </xf>
    <xf numFmtId="4" fontId="11" fillId="0" borderId="19" applyBorder="0">
      <alignment horizontal="right" wrapText="1"/>
    </xf>
    <xf numFmtId="4" fontId="8" fillId="0" borderId="16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8" fillId="0" borderId="20" applyFont="0" applyFill="0" applyBorder="0" applyAlignment="0">
      <alignment horizontal="center" vertical="center"/>
    </xf>
    <xf numFmtId="4" fontId="8" fillId="0" borderId="20" applyFont="0" applyFill="0" applyBorder="0" applyAlignment="0">
      <alignment horizontal="center" vertical="center"/>
    </xf>
    <xf numFmtId="3" fontId="11" fillId="0" borderId="17" applyBorder="0">
      <alignment horizontal="right" wrapText="1"/>
    </xf>
    <xf numFmtId="4" fontId="11" fillId="0" borderId="21" applyBorder="0">
      <alignment horizontal="right" wrapText="1"/>
    </xf>
    <xf numFmtId="4" fontId="8" fillId="0" borderId="20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4" fontId="11" fillId="0" borderId="19" applyBorder="0">
      <alignment horizontal="right" wrapText="1"/>
    </xf>
    <xf numFmtId="4" fontId="8" fillId="0" borderId="20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4" fontId="8" fillId="0" borderId="20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4" fontId="8" fillId="0" borderId="20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19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8" fillId="0" borderId="22" applyFont="0" applyFill="0" applyBorder="0" applyAlignment="0">
      <alignment horizontal="center" vertical="center"/>
    </xf>
    <xf numFmtId="4" fontId="8" fillId="0" borderId="22" applyFont="0" applyFill="0" applyBorder="0" applyAlignment="0">
      <alignment horizontal="center" vertical="center"/>
    </xf>
    <xf numFmtId="3" fontId="11" fillId="0" borderId="17" applyBorder="0">
      <alignment horizontal="right" wrapText="1"/>
    </xf>
    <xf numFmtId="4" fontId="11" fillId="0" borderId="23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23" applyBorder="0">
      <alignment horizontal="right" wrapText="1"/>
    </xf>
    <xf numFmtId="4" fontId="11" fillId="0" borderId="23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23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23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11" fillId="0" borderId="23" applyBorder="0">
      <alignment horizontal="right" wrapText="1"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0" borderId="22" applyFont="0" applyFill="0" applyBorder="0" applyAlignment="0">
      <alignment horizontal="center" vertical="center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8" fillId="0" borderId="22" applyFont="0" applyFill="0" applyBorder="0" applyAlignment="0">
      <alignment horizontal="center" vertical="center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4" fontId="11" fillId="0" borderId="45" applyBorder="0">
      <alignment horizontal="right" wrapText="1"/>
    </xf>
    <xf numFmtId="165" fontId="1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/>
    <xf numFmtId="15" fontId="5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ont="1"/>
    <xf numFmtId="15" fontId="0" fillId="0" borderId="0" xfId="0" applyNumberFormat="1" applyAlignment="1">
      <alignment vertical="center"/>
    </xf>
    <xf numFmtId="15" fontId="14" fillId="0" borderId="0" xfId="0" applyNumberFormat="1" applyFont="1" applyAlignment="1">
      <alignment vertical="center"/>
    </xf>
    <xf numFmtId="15" fontId="1" fillId="0" borderId="0" xfId="1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0" fontId="0" fillId="0" borderId="0" xfId="0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3" borderId="31" xfId="0" applyFont="1" applyFill="1" applyBorder="1" applyAlignment="1">
      <alignment vertical="center"/>
    </xf>
    <xf numFmtId="170" fontId="33" fillId="3" borderId="26" xfId="0" applyNumberFormat="1" applyFont="1" applyFill="1" applyBorder="1" applyAlignment="1" applyProtection="1">
      <alignment horizontal="center" vertical="center"/>
      <protection locked="0"/>
    </xf>
    <xf numFmtId="171" fontId="22" fillId="3" borderId="26" xfId="0" applyNumberFormat="1" applyFont="1" applyFill="1" applyBorder="1" applyAlignment="1" applyProtection="1">
      <alignment horizontal="center" vertical="center"/>
      <protection locked="0"/>
    </xf>
    <xf numFmtId="1" fontId="32" fillId="0" borderId="25" xfId="13" applyNumberFormat="1" applyFont="1" applyBorder="1" applyAlignment="1" applyProtection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173" fontId="30" fillId="5" borderId="25" xfId="0" applyNumberFormat="1" applyFont="1" applyFill="1" applyBorder="1" applyAlignment="1" applyProtection="1">
      <alignment horizontal="left" vertical="center"/>
    </xf>
    <xf numFmtId="174" fontId="30" fillId="5" borderId="25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Alignment="1" applyProtection="1">
      <alignment vertical="center"/>
      <protection locked="0"/>
    </xf>
    <xf numFmtId="166" fontId="5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13" fillId="7" borderId="5" xfId="9" applyNumberFormat="1" applyFont="1" applyFill="1" applyBorder="1" applyAlignment="1">
      <alignment horizontal="center" vertical="center"/>
    </xf>
    <xf numFmtId="166" fontId="6" fillId="0" borderId="46" xfId="9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4" fillId="0" borderId="0" xfId="0" applyFont="1"/>
    <xf numFmtId="166" fontId="24" fillId="0" borderId="0" xfId="0" applyNumberFormat="1" applyFont="1" applyAlignment="1">
      <alignment textRotation="90"/>
    </xf>
    <xf numFmtId="0" fontId="24" fillId="3" borderId="0" xfId="0" applyFont="1" applyFill="1"/>
    <xf numFmtId="0" fontId="24" fillId="11" borderId="0" xfId="0" applyFont="1" applyFill="1"/>
    <xf numFmtId="0" fontId="24" fillId="11" borderId="0" xfId="0" applyFont="1" applyFill="1" applyAlignment="1">
      <alignment textRotation="90"/>
    </xf>
    <xf numFmtId="0" fontId="24" fillId="3" borderId="0" xfId="0" applyFont="1" applyFill="1" applyAlignment="1">
      <alignment horizontal="center" textRotation="90"/>
    </xf>
    <xf numFmtId="14" fontId="33" fillId="3" borderId="25" xfId="0" applyNumberFormat="1" applyFont="1" applyFill="1" applyBorder="1" applyAlignment="1" applyProtection="1">
      <alignment vertical="center"/>
      <protection locked="0"/>
    </xf>
    <xf numFmtId="1" fontId="31" fillId="0" borderId="25" xfId="13" applyNumberFormat="1" applyFont="1" applyBorder="1" applyAlignment="1" applyProtection="1">
      <alignment vertical="center"/>
    </xf>
    <xf numFmtId="10" fontId="31" fillId="0" borderId="25" xfId="9" applyNumberFormat="1" applyFont="1" applyBorder="1" applyAlignment="1" applyProtection="1">
      <alignment vertical="center"/>
    </xf>
    <xf numFmtId="14" fontId="42" fillId="3" borderId="25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/>
    </xf>
    <xf numFmtId="0" fontId="13" fillId="7" borderId="56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166" fontId="6" fillId="0" borderId="54" xfId="9" applyNumberFormat="1" applyFont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9" fontId="23" fillId="4" borderId="0" xfId="13" applyFont="1" applyFill="1" applyAlignment="1">
      <alignment vertical="center"/>
    </xf>
    <xf numFmtId="0" fontId="54" fillId="4" borderId="0" xfId="0" applyFont="1" applyFill="1" applyAlignment="1">
      <alignment vertical="center"/>
    </xf>
    <xf numFmtId="0" fontId="48" fillId="4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6" fillId="4" borderId="0" xfId="0" applyFont="1" applyFill="1" applyAlignment="1">
      <alignment vertical="center"/>
    </xf>
    <xf numFmtId="9" fontId="55" fillId="4" borderId="0" xfId="13" applyFont="1" applyFill="1" applyAlignment="1">
      <alignment vertical="center"/>
    </xf>
    <xf numFmtId="0" fontId="57" fillId="4" borderId="0" xfId="0" applyFont="1" applyFill="1" applyAlignment="1">
      <alignment vertical="center"/>
    </xf>
    <xf numFmtId="172" fontId="22" fillId="3" borderId="25" xfId="0" applyNumberFormat="1" applyFont="1" applyFill="1" applyBorder="1" applyAlignment="1" applyProtection="1">
      <alignment horizontal="center" vertical="center"/>
    </xf>
    <xf numFmtId="175" fontId="22" fillId="3" borderId="25" xfId="0" applyNumberFormat="1" applyFont="1" applyFill="1" applyBorder="1" applyAlignment="1" applyProtection="1">
      <alignment horizontal="center" vertical="center"/>
    </xf>
    <xf numFmtId="9" fontId="31" fillId="0" borderId="25" xfId="9" applyNumberFormat="1" applyFont="1" applyBorder="1" applyAlignment="1" applyProtection="1">
      <alignment horizontal="center" vertical="center"/>
    </xf>
    <xf numFmtId="9" fontId="0" fillId="0" borderId="0" xfId="9" applyNumberFormat="1" applyFont="1" applyAlignment="1">
      <alignment horizontal="center"/>
    </xf>
    <xf numFmtId="9" fontId="42" fillId="3" borderId="25" xfId="9" applyNumberFormat="1" applyFont="1" applyFill="1" applyBorder="1" applyAlignment="1" applyProtection="1">
      <alignment horizontal="center" vertical="center"/>
      <protection locked="0"/>
    </xf>
    <xf numFmtId="9" fontId="27" fillId="0" borderId="0" xfId="9" applyNumberFormat="1" applyFont="1" applyAlignment="1">
      <alignment horizontal="center"/>
    </xf>
    <xf numFmtId="176" fontId="23" fillId="4" borderId="0" xfId="13" applyNumberFormat="1" applyFont="1" applyFill="1" applyAlignment="1">
      <alignment vertical="center"/>
    </xf>
    <xf numFmtId="179" fontId="6" fillId="0" borderId="54" xfId="0" applyNumberFormat="1" applyFont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5" fillId="0" borderId="0" xfId="0" applyNumberFormat="1" applyFont="1" applyAlignment="1" applyProtection="1">
      <alignment horizontal="center" vertical="center"/>
      <protection locked="0"/>
    </xf>
    <xf numFmtId="2" fontId="1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47" fillId="0" borderId="62" xfId="0" applyNumberFormat="1" applyFont="1" applyBorder="1" applyAlignment="1" applyProtection="1">
      <alignment vertical="center" wrapText="1"/>
      <protection locked="0"/>
    </xf>
    <xf numFmtId="49" fontId="47" fillId="0" borderId="62" xfId="0" applyNumberFormat="1" applyFont="1" applyBorder="1" applyAlignment="1" applyProtection="1">
      <alignment horizontal="center" vertical="center" wrapText="1"/>
      <protection locked="0"/>
    </xf>
    <xf numFmtId="181" fontId="0" fillId="0" borderId="0" xfId="0" applyNumberFormat="1" applyAlignment="1">
      <alignment horizontal="center" vertical="center"/>
    </xf>
    <xf numFmtId="0" fontId="4" fillId="13" borderId="33" xfId="0" applyFont="1" applyFill="1" applyBorder="1" applyAlignment="1">
      <alignment horizontal="center" vertical="center" wrapText="1"/>
    </xf>
    <xf numFmtId="166" fontId="13" fillId="14" borderId="30" xfId="0" applyNumberFormat="1" applyFont="1" applyFill="1" applyBorder="1" applyAlignment="1">
      <alignment horizontal="center" vertical="center"/>
    </xf>
    <xf numFmtId="166" fontId="13" fillId="14" borderId="30" xfId="0" applyNumberFormat="1" applyFont="1" applyFill="1" applyBorder="1" applyAlignment="1" applyProtection="1">
      <alignment horizontal="center" vertical="center"/>
      <protection locked="0"/>
    </xf>
    <xf numFmtId="0" fontId="13" fillId="14" borderId="26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8" fillId="4" borderId="0" xfId="0" applyFont="1" applyFill="1" applyAlignment="1">
      <alignment vertical="center" wrapText="1"/>
    </xf>
    <xf numFmtId="176" fontId="23" fillId="4" borderId="0" xfId="13" applyNumberFormat="1" applyFont="1" applyFill="1" applyAlignment="1">
      <alignment vertical="center" wrapText="1"/>
    </xf>
    <xf numFmtId="0" fontId="54" fillId="4" borderId="0" xfId="0" applyFont="1" applyFill="1" applyAlignment="1">
      <alignment vertical="center" wrapText="1"/>
    </xf>
    <xf numFmtId="9" fontId="23" fillId="4" borderId="0" xfId="1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66" fontId="50" fillId="14" borderId="48" xfId="0" applyNumberFormat="1" applyFont="1" applyFill="1" applyBorder="1" applyAlignment="1">
      <alignment horizontal="center" vertical="center"/>
    </xf>
    <xf numFmtId="166" fontId="50" fillId="14" borderId="25" xfId="0" applyNumberFormat="1" applyFont="1" applyFill="1" applyBorder="1" applyAlignment="1">
      <alignment horizontal="center" vertical="center"/>
    </xf>
    <xf numFmtId="177" fontId="50" fillId="14" borderId="51" xfId="0" applyNumberFormat="1" applyFont="1" applyFill="1" applyBorder="1" applyAlignment="1">
      <alignment horizontal="center" vertical="center"/>
    </xf>
    <xf numFmtId="177" fontId="50" fillId="14" borderId="48" xfId="0" applyNumberFormat="1" applyFont="1" applyFill="1" applyBorder="1" applyAlignment="1">
      <alignment horizontal="center" vertical="center"/>
    </xf>
    <xf numFmtId="9" fontId="50" fillId="14" borderId="25" xfId="13" applyNumberFormat="1" applyFont="1" applyFill="1" applyBorder="1" applyAlignment="1">
      <alignment horizontal="center" vertical="center"/>
    </xf>
    <xf numFmtId="166" fontId="46" fillId="14" borderId="49" xfId="0" applyNumberFormat="1" applyFont="1" applyFill="1" applyBorder="1" applyAlignment="1">
      <alignment horizontal="center" vertical="center"/>
    </xf>
    <xf numFmtId="9" fontId="46" fillId="14" borderId="50" xfId="13" applyNumberFormat="1" applyFont="1" applyFill="1" applyBorder="1" applyAlignment="1">
      <alignment horizontal="center" vertical="center"/>
    </xf>
    <xf numFmtId="177" fontId="46" fillId="14" borderId="52" xfId="0" applyNumberFormat="1" applyFont="1" applyFill="1" applyBorder="1" applyAlignment="1">
      <alignment horizontal="center" vertical="center"/>
    </xf>
    <xf numFmtId="0" fontId="61" fillId="9" borderId="25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vertical="center" wrapText="1"/>
    </xf>
    <xf numFmtId="0" fontId="13" fillId="14" borderId="30" xfId="0" applyFont="1" applyFill="1" applyBorder="1" applyAlignment="1">
      <alignment horizontal="center" vertical="center"/>
    </xf>
    <xf numFmtId="178" fontId="51" fillId="14" borderId="50" xfId="1" applyNumberFormat="1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65" fontId="0" fillId="0" borderId="0" xfId="1" applyFont="1" applyAlignment="1">
      <alignment vertical="center"/>
    </xf>
    <xf numFmtId="168" fontId="15" fillId="0" borderId="0" xfId="1" applyNumberFormat="1" applyFont="1" applyAlignment="1" applyProtection="1">
      <alignment horizontal="center" vertical="center"/>
      <protection locked="0"/>
    </xf>
    <xf numFmtId="168" fontId="21" fillId="0" borderId="0" xfId="1" applyNumberFormat="1" applyFont="1" applyAlignment="1">
      <alignment vertical="center"/>
    </xf>
    <xf numFmtId="168" fontId="0" fillId="0" borderId="0" xfId="1" applyNumberFormat="1" applyFont="1" applyAlignment="1">
      <alignment vertical="center"/>
    </xf>
    <xf numFmtId="168" fontId="0" fillId="0" borderId="0" xfId="1" applyNumberFormat="1" applyFont="1" applyAlignment="1">
      <alignment vertical="center" wrapText="1"/>
    </xf>
    <xf numFmtId="168" fontId="1" fillId="0" borderId="0" xfId="1" applyNumberFormat="1" applyFont="1" applyAlignment="1">
      <alignment horizontal="center" vertical="center"/>
    </xf>
    <xf numFmtId="168" fontId="16" fillId="0" borderId="0" xfId="1" applyNumberFormat="1" applyFont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68" fontId="6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168" fontId="24" fillId="0" borderId="0" xfId="1" applyNumberFormat="1" applyFont="1"/>
    <xf numFmtId="15" fontId="24" fillId="0" borderId="0" xfId="0" applyNumberFormat="1" applyFont="1"/>
    <xf numFmtId="0" fontId="24" fillId="4" borderId="0" xfId="0" applyFont="1" applyFill="1"/>
    <xf numFmtId="168" fontId="24" fillId="4" borderId="0" xfId="1" applyNumberFormat="1" applyFont="1" applyFill="1"/>
    <xf numFmtId="0" fontId="38" fillId="0" borderId="0" xfId="0" applyFont="1"/>
    <xf numFmtId="0" fontId="41" fillId="3" borderId="0" xfId="0" applyFont="1" applyFill="1"/>
    <xf numFmtId="15" fontId="41" fillId="3" borderId="0" xfId="0" applyNumberFormat="1" applyFont="1" applyFill="1"/>
    <xf numFmtId="0" fontId="41" fillId="5" borderId="0" xfId="0" applyFont="1" applyFill="1"/>
    <xf numFmtId="15" fontId="41" fillId="5" borderId="0" xfId="0" applyNumberFormat="1" applyFont="1" applyFill="1"/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3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73" xfId="0" applyFont="1" applyBorder="1"/>
    <xf numFmtId="15" fontId="41" fillId="3" borderId="73" xfId="0" applyNumberFormat="1" applyFont="1" applyFill="1" applyBorder="1"/>
    <xf numFmtId="0" fontId="41" fillId="3" borderId="73" xfId="0" applyFont="1" applyFill="1" applyBorder="1"/>
    <xf numFmtId="15" fontId="41" fillId="5" borderId="73" xfId="0" applyNumberFormat="1" applyFont="1" applyFill="1" applyBorder="1"/>
    <xf numFmtId="0" fontId="41" fillId="5" borderId="73" xfId="0" applyFont="1" applyFill="1" applyBorder="1"/>
    <xf numFmtId="165" fontId="15" fillId="0" borderId="0" xfId="1" applyFont="1" applyAlignment="1" applyProtection="1">
      <alignment vertical="center"/>
      <protection locked="0"/>
    </xf>
    <xf numFmtId="165" fontId="23" fillId="4" borderId="0" xfId="1" applyFont="1" applyFill="1" applyAlignment="1">
      <alignment vertical="center"/>
    </xf>
    <xf numFmtId="165" fontId="55" fillId="4" borderId="0" xfId="1" applyFont="1" applyFill="1" applyAlignment="1">
      <alignment vertical="center"/>
    </xf>
    <xf numFmtId="165" fontId="23" fillId="4" borderId="0" xfId="1" applyFont="1" applyFill="1" applyAlignment="1">
      <alignment vertical="center" wrapText="1"/>
    </xf>
    <xf numFmtId="165" fontId="5" fillId="0" borderId="0" xfId="1" applyFont="1" applyAlignment="1">
      <alignment vertical="center"/>
    </xf>
    <xf numFmtId="165" fontId="1" fillId="0" borderId="0" xfId="1" applyFont="1" applyAlignment="1">
      <alignment vertical="center"/>
    </xf>
    <xf numFmtId="165" fontId="16" fillId="0" borderId="0" xfId="1" applyFont="1" applyAlignment="1">
      <alignment vertical="center"/>
    </xf>
    <xf numFmtId="168" fontId="24" fillId="0" borderId="74" xfId="1" applyNumberFormat="1" applyFont="1" applyBorder="1"/>
    <xf numFmtId="168" fontId="41" fillId="3" borderId="74" xfId="1" applyNumberFormat="1" applyFont="1" applyFill="1" applyBorder="1"/>
    <xf numFmtId="165" fontId="21" fillId="4" borderId="72" xfId="1" applyFont="1" applyFill="1" applyBorder="1" applyAlignment="1">
      <alignment horizontal="center" vertical="center"/>
    </xf>
    <xf numFmtId="0" fontId="21" fillId="4" borderId="72" xfId="0" applyFont="1" applyFill="1" applyBorder="1" applyAlignment="1">
      <alignment horizontal="center" vertical="center"/>
    </xf>
    <xf numFmtId="165" fontId="25" fillId="4" borderId="76" xfId="1" applyFont="1" applyFill="1" applyBorder="1" applyAlignment="1" applyProtection="1">
      <alignment horizontal="center" vertical="center"/>
      <protection locked="0"/>
    </xf>
    <xf numFmtId="10" fontId="25" fillId="4" borderId="76" xfId="13" applyNumberFormat="1" applyFont="1" applyFill="1" applyBorder="1" applyAlignment="1" applyProtection="1">
      <alignment horizontal="center" vertical="center"/>
      <protection locked="0"/>
    </xf>
    <xf numFmtId="2" fontId="0" fillId="0" borderId="76" xfId="0" applyNumberFormat="1" applyBorder="1" applyAlignment="1">
      <alignment horizontal="center" vertical="center"/>
    </xf>
    <xf numFmtId="168" fontId="0" fillId="0" borderId="77" xfId="1" applyNumberFormat="1" applyFont="1" applyBorder="1" applyAlignment="1">
      <alignment horizontal="center" vertical="center"/>
    </xf>
    <xf numFmtId="165" fontId="62" fillId="4" borderId="78" xfId="1" applyFont="1" applyFill="1" applyBorder="1" applyAlignment="1" applyProtection="1">
      <alignment horizontal="center" vertical="center"/>
      <protection locked="0"/>
    </xf>
    <xf numFmtId="10" fontId="62" fillId="4" borderId="78" xfId="13" applyNumberFormat="1" applyFont="1" applyFill="1" applyBorder="1" applyAlignment="1" applyProtection="1">
      <alignment horizontal="center" vertical="center"/>
      <protection locked="0"/>
    </xf>
    <xf numFmtId="2" fontId="21" fillId="0" borderId="78" xfId="0" applyNumberFormat="1" applyFont="1" applyBorder="1" applyAlignment="1">
      <alignment horizontal="center" vertical="center"/>
    </xf>
    <xf numFmtId="168" fontId="21" fillId="0" borderId="79" xfId="1" applyNumberFormat="1" applyFont="1" applyBorder="1" applyAlignment="1">
      <alignment horizontal="center" vertical="center"/>
    </xf>
    <xf numFmtId="9" fontId="25" fillId="4" borderId="76" xfId="9" applyFont="1" applyFill="1" applyBorder="1" applyAlignment="1" applyProtection="1">
      <alignment horizontal="center" vertical="center"/>
      <protection locked="0"/>
    </xf>
    <xf numFmtId="165" fontId="25" fillId="3" borderId="76" xfId="1" applyFont="1" applyFill="1" applyBorder="1" applyAlignment="1" applyProtection="1">
      <alignment horizontal="center" vertical="center"/>
      <protection locked="0"/>
    </xf>
    <xf numFmtId="10" fontId="25" fillId="3" borderId="76" xfId="13" applyNumberFormat="1" applyFont="1" applyFill="1" applyBorder="1" applyAlignment="1" applyProtection="1">
      <alignment horizontal="center" vertical="center"/>
      <protection locked="0"/>
    </xf>
    <xf numFmtId="2" fontId="0" fillId="3" borderId="76" xfId="0" applyNumberFormat="1" applyFill="1" applyBorder="1" applyAlignment="1">
      <alignment horizontal="center" vertical="center"/>
    </xf>
    <xf numFmtId="165" fontId="62" fillId="4" borderId="72" xfId="1" applyFont="1" applyFill="1" applyBorder="1" applyAlignment="1" applyProtection="1">
      <alignment horizontal="center" vertical="center"/>
      <protection locked="0"/>
    </xf>
    <xf numFmtId="10" fontId="62" fillId="4" borderId="72" xfId="13" applyNumberFormat="1" applyFont="1" applyFill="1" applyBorder="1" applyAlignment="1" applyProtection="1">
      <alignment horizontal="center" vertical="center"/>
      <protection locked="0"/>
    </xf>
    <xf numFmtId="2" fontId="21" fillId="0" borderId="72" xfId="0" applyNumberFormat="1" applyFont="1" applyBorder="1" applyAlignment="1">
      <alignment horizontal="center" vertical="center"/>
    </xf>
    <xf numFmtId="168" fontId="21" fillId="0" borderId="75" xfId="1" applyNumberFormat="1" applyFont="1" applyBorder="1" applyAlignment="1">
      <alignment horizontal="center" vertical="center"/>
    </xf>
    <xf numFmtId="9" fontId="25" fillId="3" borderId="76" xfId="9" applyFont="1" applyFill="1" applyBorder="1" applyAlignment="1" applyProtection="1">
      <alignment horizontal="center" vertical="center"/>
      <protection locked="0"/>
    </xf>
    <xf numFmtId="168" fontId="0" fillId="3" borderId="77" xfId="1" applyNumberFormat="1" applyFont="1" applyFill="1" applyBorder="1" applyAlignment="1">
      <alignment horizontal="center" vertical="center"/>
    </xf>
    <xf numFmtId="0" fontId="39" fillId="0" borderId="0" xfId="0" applyFont="1"/>
    <xf numFmtId="168" fontId="41" fillId="3" borderId="0" xfId="1" applyNumberFormat="1" applyFont="1" applyFill="1"/>
    <xf numFmtId="10" fontId="41" fillId="3" borderId="0" xfId="9" applyNumberFormat="1" applyFont="1" applyFill="1"/>
    <xf numFmtId="10" fontId="41" fillId="6" borderId="0" xfId="9" applyNumberFormat="1" applyFont="1" applyFill="1"/>
    <xf numFmtId="0" fontId="24" fillId="6" borderId="0" xfId="0" applyFont="1" applyFill="1"/>
    <xf numFmtId="0" fontId="24" fillId="6" borderId="73" xfId="0" applyFont="1" applyFill="1" applyBorder="1"/>
    <xf numFmtId="168" fontId="24" fillId="6" borderId="74" xfId="1" applyNumberFormat="1" applyFont="1" applyFill="1" applyBorder="1"/>
    <xf numFmtId="168" fontId="24" fillId="6" borderId="0" xfId="1" applyNumberFormat="1" applyFont="1" applyFill="1"/>
    <xf numFmtId="0" fontId="24" fillId="6" borderId="0" xfId="0" applyFont="1" applyFill="1" applyBorder="1"/>
    <xf numFmtId="2" fontId="5" fillId="0" borderId="7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4" fillId="4" borderId="43" xfId="0" applyFont="1" applyFill="1" applyBorder="1" applyAlignment="1">
      <alignment vertical="center"/>
    </xf>
    <xf numFmtId="0" fontId="44" fillId="4" borderId="3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0" fontId="6" fillId="0" borderId="46" xfId="9" applyNumberFormat="1" applyFont="1" applyBorder="1" applyAlignment="1">
      <alignment horizontal="center" vertical="center"/>
    </xf>
    <xf numFmtId="10" fontId="0" fillId="0" borderId="0" xfId="9" applyNumberFormat="1" applyFont="1" applyAlignment="1">
      <alignment vertical="center"/>
    </xf>
    <xf numFmtId="0" fontId="0" fillId="3" borderId="6" xfId="0" applyFill="1" applyBorder="1" applyAlignment="1">
      <alignment vertical="center"/>
    </xf>
    <xf numFmtId="10" fontId="0" fillId="3" borderId="7" xfId="9" applyNumberFormat="1" applyFont="1" applyFill="1" applyBorder="1" applyAlignment="1">
      <alignment vertical="center"/>
    </xf>
    <xf numFmtId="10" fontId="0" fillId="3" borderId="8" xfId="9" applyNumberFormat="1" applyFont="1" applyFill="1" applyBorder="1" applyAlignment="1">
      <alignment vertical="center"/>
    </xf>
    <xf numFmtId="10" fontId="0" fillId="3" borderId="0" xfId="9" applyNumberFormat="1" applyFont="1" applyFill="1" applyBorder="1" applyAlignment="1">
      <alignment vertical="center"/>
    </xf>
    <xf numFmtId="10" fontId="0" fillId="3" borderId="2" xfId="9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0" fontId="0" fillId="3" borderId="10" xfId="9" applyNumberFormat="1" applyFont="1" applyFill="1" applyBorder="1" applyAlignment="1">
      <alignment vertical="center"/>
    </xf>
    <xf numFmtId="10" fontId="0" fillId="3" borderId="11" xfId="9" applyNumberFormat="1" applyFont="1" applyFill="1" applyBorder="1" applyAlignment="1">
      <alignment vertical="center"/>
    </xf>
    <xf numFmtId="10" fontId="13" fillId="7" borderId="5" xfId="9" applyNumberFormat="1" applyFont="1" applyFill="1" applyBorder="1" applyAlignment="1">
      <alignment horizontal="center" vertical="center"/>
    </xf>
    <xf numFmtId="168" fontId="6" fillId="0" borderId="46" xfId="1" applyNumberFormat="1" applyFont="1" applyBorder="1" applyAlignment="1">
      <alignment horizontal="center" vertical="center"/>
    </xf>
    <xf numFmtId="1" fontId="13" fillId="7" borderId="5" xfId="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9" applyNumberFormat="1" applyFont="1" applyAlignment="1">
      <alignment vertical="center"/>
    </xf>
    <xf numFmtId="10" fontId="41" fillId="3" borderId="0" xfId="9" applyNumberFormat="1" applyFont="1" applyFill="1" applyBorder="1"/>
    <xf numFmtId="179" fontId="63" fillId="7" borderId="5" xfId="9" applyNumberFormat="1" applyFont="1" applyFill="1" applyBorder="1" applyAlignment="1">
      <alignment horizontal="center" vertical="center"/>
    </xf>
    <xf numFmtId="0" fontId="64" fillId="7" borderId="5" xfId="0" applyFont="1" applyFill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10" fontId="66" fillId="3" borderId="11" xfId="0" applyNumberFormat="1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10" fontId="67" fillId="3" borderId="8" xfId="0" applyNumberFormat="1" applyFont="1" applyFill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/>
      <protection locked="0"/>
    </xf>
    <xf numFmtId="166" fontId="68" fillId="3" borderId="30" xfId="0" applyNumberFormat="1" applyFont="1" applyFill="1" applyBorder="1" applyAlignment="1" applyProtection="1">
      <alignment horizontal="center" vertical="center"/>
      <protection locked="0"/>
    </xf>
    <xf numFmtId="166" fontId="13" fillId="3" borderId="30" xfId="0" applyNumberFormat="1" applyFont="1" applyFill="1" applyBorder="1" applyAlignment="1">
      <alignment horizontal="left" vertical="center"/>
    </xf>
    <xf numFmtId="0" fontId="68" fillId="3" borderId="26" xfId="0" applyFont="1" applyFill="1" applyBorder="1" applyAlignment="1">
      <alignment horizontal="center" vertical="center"/>
    </xf>
    <xf numFmtId="166" fontId="68" fillId="3" borderId="30" xfId="0" applyNumberFormat="1" applyFont="1" applyFill="1" applyBorder="1" applyAlignment="1">
      <alignment horizontal="left" vertical="center"/>
    </xf>
    <xf numFmtId="49" fontId="47" fillId="0" borderId="13" xfId="0" applyNumberFormat="1" applyFont="1" applyBorder="1" applyAlignment="1" applyProtection="1">
      <alignment horizontal="center" vertical="center" wrapText="1"/>
      <protection locked="0"/>
    </xf>
    <xf numFmtId="3" fontId="44" fillId="4" borderId="34" xfId="0" applyNumberFormat="1" applyFont="1" applyFill="1" applyBorder="1" applyAlignment="1">
      <alignment horizontal="center" vertical="center"/>
    </xf>
    <xf numFmtId="3" fontId="44" fillId="4" borderId="36" xfId="0" applyNumberFormat="1" applyFont="1" applyFill="1" applyBorder="1" applyAlignment="1">
      <alignment horizontal="center" vertical="center"/>
    </xf>
    <xf numFmtId="49" fontId="47" fillId="0" borderId="63" xfId="0" applyNumberFormat="1" applyFont="1" applyBorder="1" applyAlignment="1" applyProtection="1">
      <alignment horizontal="center" vertical="center" wrapText="1"/>
      <protection locked="0"/>
    </xf>
    <xf numFmtId="0" fontId="61" fillId="9" borderId="6" xfId="0" applyFont="1" applyFill="1" applyBorder="1" applyAlignment="1">
      <alignment horizontal="center" vertical="center"/>
    </xf>
    <xf numFmtId="0" fontId="61" fillId="9" borderId="7" xfId="0" applyFont="1" applyFill="1" applyBorder="1" applyAlignment="1">
      <alignment horizontal="center" vertical="center"/>
    </xf>
    <xf numFmtId="0" fontId="61" fillId="9" borderId="28" xfId="0" applyFont="1" applyFill="1" applyBorder="1" applyAlignment="1">
      <alignment horizontal="center" vertical="center"/>
    </xf>
    <xf numFmtId="0" fontId="61" fillId="9" borderId="33" xfId="0" applyFont="1" applyFill="1" applyBorder="1" applyAlignment="1">
      <alignment horizontal="center" vertical="center"/>
    </xf>
    <xf numFmtId="0" fontId="49" fillId="14" borderId="53" xfId="0" applyFont="1" applyFill="1" applyBorder="1" applyAlignment="1">
      <alignment horizontal="center" vertical="center"/>
    </xf>
    <xf numFmtId="0" fontId="49" fillId="14" borderId="66" xfId="0" applyFont="1" applyFill="1" applyBorder="1" applyAlignment="1">
      <alignment horizontal="center" vertical="center"/>
    </xf>
    <xf numFmtId="0" fontId="59" fillId="8" borderId="7" xfId="0" applyFont="1" applyFill="1" applyBorder="1" applyAlignment="1">
      <alignment horizontal="center" vertical="center" wrapText="1"/>
    </xf>
    <xf numFmtId="0" fontId="59" fillId="8" borderId="8" xfId="0" applyFont="1" applyFill="1" applyBorder="1" applyAlignment="1">
      <alignment horizontal="center" vertical="center" wrapText="1"/>
    </xf>
    <xf numFmtId="0" fontId="59" fillId="8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7" fillId="6" borderId="53" xfId="0" applyFont="1" applyFill="1" applyBorder="1" applyAlignment="1">
      <alignment horizontal="center" vertical="center" wrapText="1"/>
    </xf>
    <xf numFmtId="0" fontId="50" fillId="13" borderId="41" xfId="0" applyFont="1" applyFill="1" applyBorder="1" applyAlignment="1">
      <alignment horizontal="center" vertical="center"/>
    </xf>
    <xf numFmtId="0" fontId="50" fillId="13" borderId="40" xfId="0" applyFont="1" applyFill="1" applyBorder="1" applyAlignment="1">
      <alignment horizontal="center" vertical="center"/>
    </xf>
    <xf numFmtId="0" fontId="50" fillId="13" borderId="41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3" fillId="14" borderId="31" xfId="0" applyFont="1" applyFill="1" applyBorder="1" applyAlignment="1">
      <alignment horizontal="left" vertical="center" wrapText="1"/>
    </xf>
    <xf numFmtId="0" fontId="13" fillId="14" borderId="30" xfId="0" applyFont="1" applyFill="1" applyBorder="1" applyAlignment="1">
      <alignment horizontal="left" vertical="center" wrapText="1"/>
    </xf>
    <xf numFmtId="0" fontId="13" fillId="14" borderId="26" xfId="0" applyFont="1" applyFill="1" applyBorder="1" applyAlignment="1">
      <alignment horizontal="left" vertical="center" wrapText="1"/>
    </xf>
    <xf numFmtId="0" fontId="60" fillId="14" borderId="59" xfId="0" applyFont="1" applyFill="1" applyBorder="1" applyAlignment="1">
      <alignment horizontal="center" vertical="center"/>
    </xf>
    <xf numFmtId="0" fontId="60" fillId="14" borderId="60" xfId="0" applyFont="1" applyFill="1" applyBorder="1" applyAlignment="1">
      <alignment horizontal="center" vertical="center"/>
    </xf>
    <xf numFmtId="0" fontId="60" fillId="14" borderId="61" xfId="0" applyFont="1" applyFill="1" applyBorder="1" applyAlignment="1">
      <alignment horizontal="center" vertical="center"/>
    </xf>
    <xf numFmtId="0" fontId="60" fillId="14" borderId="15" xfId="0" applyFont="1" applyFill="1" applyBorder="1" applyAlignment="1">
      <alignment horizontal="center" vertical="center"/>
    </xf>
    <xf numFmtId="0" fontId="60" fillId="14" borderId="0" xfId="0" applyFont="1" applyFill="1" applyBorder="1" applyAlignment="1">
      <alignment horizontal="center" vertical="center"/>
    </xf>
    <xf numFmtId="0" fontId="60" fillId="14" borderId="32" xfId="0" applyFont="1" applyFill="1" applyBorder="1" applyAlignment="1">
      <alignment horizontal="center" vertical="center"/>
    </xf>
    <xf numFmtId="0" fontId="60" fillId="14" borderId="70" xfId="0" applyFont="1" applyFill="1" applyBorder="1" applyAlignment="1">
      <alignment horizontal="center" vertical="center"/>
    </xf>
    <xf numFmtId="0" fontId="60" fillId="14" borderId="10" xfId="0" applyFont="1" applyFill="1" applyBorder="1" applyAlignment="1">
      <alignment horizontal="center" vertical="center"/>
    </xf>
    <xf numFmtId="0" fontId="60" fillId="14" borderId="69" xfId="0" applyFont="1" applyFill="1" applyBorder="1" applyAlignment="1">
      <alignment horizontal="center" vertical="center"/>
    </xf>
    <xf numFmtId="0" fontId="43" fillId="14" borderId="59" xfId="0" applyFont="1" applyFill="1" applyBorder="1" applyAlignment="1">
      <alignment horizontal="center" vertical="center"/>
    </xf>
    <xf numFmtId="0" fontId="43" fillId="14" borderId="60" xfId="0" applyFont="1" applyFill="1" applyBorder="1" applyAlignment="1">
      <alignment horizontal="center" vertical="center"/>
    </xf>
    <xf numFmtId="0" fontId="43" fillId="14" borderId="68" xfId="0" applyFont="1" applyFill="1" applyBorder="1" applyAlignment="1">
      <alignment horizontal="center" vertical="center"/>
    </xf>
    <xf numFmtId="0" fontId="43" fillId="14" borderId="15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center" vertical="center"/>
    </xf>
    <xf numFmtId="0" fontId="43" fillId="14" borderId="2" xfId="0" applyFont="1" applyFill="1" applyBorder="1" applyAlignment="1">
      <alignment horizontal="center" vertical="center"/>
    </xf>
    <xf numFmtId="0" fontId="43" fillId="14" borderId="70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center" vertical="center"/>
    </xf>
    <xf numFmtId="0" fontId="0" fillId="14" borderId="67" xfId="0" applyFill="1" applyBorder="1" applyAlignment="1">
      <alignment horizontal="center"/>
    </xf>
    <xf numFmtId="0" fontId="0" fillId="14" borderId="60" xfId="0" applyFill="1" applyBorder="1" applyAlignment="1">
      <alignment horizontal="center"/>
    </xf>
    <xf numFmtId="0" fontId="0" fillId="14" borderId="61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69" xfId="0" applyFill="1" applyBorder="1" applyAlignment="1">
      <alignment horizontal="center"/>
    </xf>
    <xf numFmtId="0" fontId="26" fillId="13" borderId="14" xfId="0" applyFont="1" applyFill="1" applyBorder="1" applyAlignment="1">
      <alignment horizontal="center" vertical="center"/>
    </xf>
    <xf numFmtId="0" fontId="26" fillId="13" borderId="13" xfId="0" applyFont="1" applyFill="1" applyBorder="1" applyAlignment="1">
      <alignment horizontal="center" vertical="center"/>
    </xf>
    <xf numFmtId="0" fontId="26" fillId="13" borderId="12" xfId="0" applyFont="1" applyFill="1" applyBorder="1" applyAlignment="1">
      <alignment horizontal="center" vertical="center"/>
    </xf>
    <xf numFmtId="169" fontId="37" fillId="12" borderId="9" xfId="0" applyNumberFormat="1" applyFont="1" applyFill="1" applyBorder="1" applyAlignment="1" applyProtection="1">
      <alignment horizontal="center" vertical="center"/>
    </xf>
    <xf numFmtId="169" fontId="37" fillId="12" borderId="10" xfId="0" applyNumberFormat="1" applyFont="1" applyFill="1" applyBorder="1" applyAlignment="1" applyProtection="1">
      <alignment horizontal="center" vertical="center"/>
    </xf>
    <xf numFmtId="169" fontId="37" fillId="12" borderId="11" xfId="0" applyNumberFormat="1" applyFont="1" applyFill="1" applyBorder="1" applyAlignment="1" applyProtection="1">
      <alignment horizontal="center" vertical="center"/>
    </xf>
    <xf numFmtId="0" fontId="58" fillId="15" borderId="6" xfId="0" applyFont="1" applyFill="1" applyBorder="1" applyAlignment="1" applyProtection="1">
      <alignment horizontal="center" vertical="center"/>
    </xf>
    <xf numFmtId="0" fontId="58" fillId="15" borderId="7" xfId="0" applyFont="1" applyFill="1" applyBorder="1" applyAlignment="1" applyProtection="1">
      <alignment horizontal="center" vertical="center"/>
    </xf>
    <xf numFmtId="0" fontId="58" fillId="15" borderId="8" xfId="0" applyFont="1" applyFill="1" applyBorder="1" applyAlignment="1" applyProtection="1">
      <alignment horizontal="center" vertical="center"/>
    </xf>
    <xf numFmtId="0" fontId="61" fillId="9" borderId="25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13" borderId="48" xfId="0" applyFont="1" applyFill="1" applyBorder="1" applyAlignment="1">
      <alignment horizontal="center" vertical="center"/>
    </xf>
    <xf numFmtId="0" fontId="49" fillId="14" borderId="64" xfId="0" applyFont="1" applyFill="1" applyBorder="1" applyAlignment="1">
      <alignment horizontal="center" vertical="center"/>
    </xf>
    <xf numFmtId="0" fontId="49" fillId="14" borderId="65" xfId="0" applyFont="1" applyFill="1" applyBorder="1" applyAlignment="1">
      <alignment horizontal="center" vertical="center"/>
    </xf>
    <xf numFmtId="180" fontId="51" fillId="14" borderId="25" xfId="1" applyNumberFormat="1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52" fillId="10" borderId="9" xfId="0" applyFont="1" applyFill="1" applyBorder="1" applyAlignment="1" applyProtection="1">
      <alignment horizontal="center" vertical="center"/>
    </xf>
    <xf numFmtId="0" fontId="52" fillId="10" borderId="10" xfId="0" applyFont="1" applyFill="1" applyBorder="1" applyAlignment="1" applyProtection="1">
      <alignment horizontal="center" vertical="center"/>
    </xf>
    <xf numFmtId="0" fontId="50" fillId="13" borderId="47" xfId="0" applyFont="1" applyFill="1" applyBorder="1" applyAlignment="1">
      <alignment horizontal="left" vertical="center"/>
    </xf>
    <xf numFmtId="0" fontId="50" fillId="13" borderId="48" xfId="0" applyFont="1" applyFill="1" applyBorder="1" applyAlignment="1">
      <alignment horizontal="left" vertical="center"/>
    </xf>
    <xf numFmtId="0" fontId="50" fillId="13" borderId="24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 wrapText="1"/>
    </xf>
    <xf numFmtId="0" fontId="50" fillId="13" borderId="40" xfId="0" applyFont="1" applyFill="1" applyBorder="1" applyAlignment="1">
      <alignment horizontal="left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2" fillId="13" borderId="34" xfId="0" applyFont="1" applyFill="1" applyBorder="1" applyAlignment="1">
      <alignment horizontal="center" vertical="center"/>
    </xf>
    <xf numFmtId="0" fontId="12" fillId="13" borderId="35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35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47" fillId="6" borderId="31" xfId="0" applyFont="1" applyFill="1" applyBorder="1" applyAlignment="1">
      <alignment horizontal="center" vertical="center" wrapText="1"/>
    </xf>
    <xf numFmtId="0" fontId="47" fillId="6" borderId="30" xfId="0" applyFont="1" applyFill="1" applyBorder="1" applyAlignment="1">
      <alignment horizontal="center" vertical="center" wrapText="1"/>
    </xf>
    <xf numFmtId="0" fontId="47" fillId="6" borderId="26" xfId="0" applyFont="1" applyFill="1" applyBorder="1" applyAlignment="1">
      <alignment horizontal="center" vertical="center" wrapText="1"/>
    </xf>
    <xf numFmtId="168" fontId="4" fillId="5" borderId="65" xfId="1" applyNumberFormat="1" applyFont="1" applyFill="1" applyBorder="1" applyAlignment="1">
      <alignment horizontal="center" vertical="center"/>
    </xf>
    <xf numFmtId="168" fontId="4" fillId="5" borderId="79" xfId="1" applyNumberFormat="1" applyFont="1" applyFill="1" applyBorder="1" applyAlignment="1">
      <alignment horizontal="center" vertical="center"/>
    </xf>
    <xf numFmtId="0" fontId="21" fillId="5" borderId="72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71" xfId="0" applyFont="1" applyFill="1" applyBorder="1" applyAlignment="1">
      <alignment horizontal="center" vertical="center"/>
    </xf>
    <xf numFmtId="0" fontId="21" fillId="5" borderId="70" xfId="0" applyFont="1" applyFill="1" applyBorder="1" applyAlignment="1">
      <alignment horizontal="center" vertical="center"/>
    </xf>
    <xf numFmtId="0" fontId="21" fillId="5" borderId="69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 shrinkToFit="1"/>
    </xf>
    <xf numFmtId="0" fontId="4" fillId="13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/>
    </xf>
    <xf numFmtId="0" fontId="44" fillId="4" borderId="39" xfId="0" applyFont="1" applyFill="1" applyBorder="1" applyAlignment="1">
      <alignment horizontal="center" vertical="center"/>
    </xf>
    <xf numFmtId="0" fontId="44" fillId="4" borderId="40" xfId="0" applyFont="1" applyFill="1" applyBorder="1" applyAlignment="1">
      <alignment horizontal="center" vertical="center"/>
    </xf>
    <xf numFmtId="2" fontId="45" fillId="4" borderId="41" xfId="0" applyNumberFormat="1" applyFont="1" applyFill="1" applyBorder="1" applyAlignment="1">
      <alignment horizontal="center" vertical="center"/>
    </xf>
    <xf numFmtId="2" fontId="45" fillId="4" borderId="39" xfId="0" applyNumberFormat="1" applyFont="1" applyFill="1" applyBorder="1" applyAlignment="1">
      <alignment horizontal="center" vertical="center"/>
    </xf>
    <xf numFmtId="2" fontId="45" fillId="4" borderId="42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44" fillId="4" borderId="43" xfId="0" applyFont="1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/>
    </xf>
    <xf numFmtId="0" fontId="44" fillId="4" borderId="44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12" xfId="0" applyFont="1" applyFill="1" applyBorder="1" applyAlignment="1">
      <alignment horizontal="center" vertical="center"/>
    </xf>
    <xf numFmtId="0" fontId="44" fillId="4" borderId="36" xfId="0" applyFont="1" applyFill="1" applyBorder="1" applyAlignment="1">
      <alignment horizontal="center" vertical="center"/>
    </xf>
    <xf numFmtId="0" fontId="45" fillId="4" borderId="29" xfId="0" applyFont="1" applyFill="1" applyBorder="1" applyAlignment="1">
      <alignment horizontal="center" vertical="center"/>
    </xf>
    <xf numFmtId="0" fontId="45" fillId="4" borderId="30" xfId="0" applyFont="1" applyFill="1" applyBorder="1" applyAlignment="1">
      <alignment horizontal="center" vertical="center"/>
    </xf>
    <xf numFmtId="0" fontId="45" fillId="4" borderId="26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 vertical="center" wrapText="1"/>
    </xf>
    <xf numFmtId="179" fontId="45" fillId="4" borderId="31" xfId="0" applyNumberFormat="1" applyFont="1" applyFill="1" applyBorder="1" applyAlignment="1">
      <alignment horizontal="center" vertical="center"/>
    </xf>
    <xf numFmtId="179" fontId="45" fillId="4" borderId="30" xfId="0" applyNumberFormat="1" applyFont="1" applyFill="1" applyBorder="1" applyAlignment="1">
      <alignment horizontal="center" vertical="center"/>
    </xf>
    <xf numFmtId="179" fontId="45" fillId="4" borderId="37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81" fontId="21" fillId="3" borderId="0" xfId="0" applyNumberFormat="1" applyFont="1" applyFill="1" applyAlignment="1">
      <alignment horizontal="center" vertical="center"/>
    </xf>
  </cellXfs>
  <cellStyles count="3715">
    <cellStyle name="Comma" xfId="1" builtinId="3"/>
    <cellStyle name="Comma [2]" xfId="2"/>
    <cellStyle name="Comma [2] 10" xfId="1479"/>
    <cellStyle name="Comma [2] 10 2" xfId="3696"/>
    <cellStyle name="Comma [2] 11" xfId="1480"/>
    <cellStyle name="Comma [2] 11 2" xfId="3697"/>
    <cellStyle name="Comma [2] 12" xfId="1483"/>
    <cellStyle name="Comma [2] 12 2" xfId="3699"/>
    <cellStyle name="Comma [2] 13" xfId="1667"/>
    <cellStyle name="Comma [2] 13 2" xfId="3702"/>
    <cellStyle name="Comma [2] 14" xfId="1850"/>
    <cellStyle name="Comma [2] 14 2" xfId="3704"/>
    <cellStyle name="Comma [2] 15" xfId="2033"/>
    <cellStyle name="Comma [2] 15 2" xfId="3706"/>
    <cellStyle name="Comma [2] 16" xfId="2578"/>
    <cellStyle name="Comma [2] 17" xfId="2579"/>
    <cellStyle name="Comma [2] 18" xfId="2582"/>
    <cellStyle name="Comma [2] 19" xfId="2766"/>
    <cellStyle name="Comma [2] 2" xfId="14"/>
    <cellStyle name="Comma [2] 2 2" xfId="3680"/>
    <cellStyle name="Comma [2] 20" xfId="2949"/>
    <cellStyle name="Comma [2] 21" xfId="3132"/>
    <cellStyle name="Comma [2] 3" xfId="15"/>
    <cellStyle name="Comma [2] 3 2" xfId="3681"/>
    <cellStyle name="Comma [2] 4" xfId="18"/>
    <cellStyle name="Comma [2] 4 2" xfId="3683"/>
    <cellStyle name="Comma [2] 5" xfId="383"/>
    <cellStyle name="Comma [2] 5 2" xfId="3686"/>
    <cellStyle name="Comma [2] 6" xfId="747"/>
    <cellStyle name="Comma [2] 6 2" xfId="3688"/>
    <cellStyle name="Comma [2] 7" xfId="749"/>
    <cellStyle name="Comma [2] 7 2" xfId="3690"/>
    <cellStyle name="Comma [2] 8" xfId="1113"/>
    <cellStyle name="Comma [2] 8 2" xfId="3692"/>
    <cellStyle name="Comma [2] 9" xfId="1115"/>
    <cellStyle name="Comma [2] 9 2" xfId="3694"/>
    <cellStyle name="Comma 2" xfId="3"/>
    <cellStyle name="Comma 3" xfId="4"/>
    <cellStyle name="Comma 4" xfId="5"/>
    <cellStyle name="Comma 5" xfId="3677"/>
    <cellStyle name="Comma 6" xfId="3714"/>
    <cellStyle name="Euro" xfId="6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RM" xfId="7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Normal" xfId="0" builtinId="0"/>
    <cellStyle name="Normal 2" xfId="8"/>
    <cellStyle name="Percent" xfId="9" builtinId="5"/>
    <cellStyle name="Percent 2" xfId="10"/>
    <cellStyle name="Percent 2 10" xfId="1484"/>
    <cellStyle name="Percent 2 11" xfId="1668"/>
    <cellStyle name="Percent 2 12" xfId="1851"/>
    <cellStyle name="Percent 2 13" xfId="2034"/>
    <cellStyle name="Percent 2 14" xfId="2216"/>
    <cellStyle name="Percent 2 15" xfId="2397"/>
    <cellStyle name="Percent 2 16" xfId="2583"/>
    <cellStyle name="Percent 2 17" xfId="2767"/>
    <cellStyle name="Percent 2 18" xfId="2950"/>
    <cellStyle name="Percent 2 19" xfId="3133"/>
    <cellStyle name="Percent 2 2" xfId="19"/>
    <cellStyle name="Percent 2 20" xfId="3315"/>
    <cellStyle name="Percent 2 21" xfId="3496"/>
    <cellStyle name="Percent 2 22" xfId="3679"/>
    <cellStyle name="Percent 2 3" xfId="201"/>
    <cellStyle name="Percent 2 4" xfId="384"/>
    <cellStyle name="Percent 2 5" xfId="566"/>
    <cellStyle name="Percent 2 6" xfId="750"/>
    <cellStyle name="Percent 2 7" xfId="932"/>
    <cellStyle name="Percent 2 8" xfId="1116"/>
    <cellStyle name="Percent 2 9" xfId="1298"/>
    <cellStyle name="Percent 3" xfId="13"/>
    <cellStyle name="Percent 4" xfId="3678"/>
    <cellStyle name="Reports-0" xfId="11"/>
    <cellStyle name="Reports-0 2" xfId="16"/>
    <cellStyle name="Reports-0 3" xfId="1481"/>
    <cellStyle name="Reports-0 4" xfId="2580"/>
    <cellStyle name="Reports-2" xfId="12"/>
    <cellStyle name="Reports-2 10" xfId="1482"/>
    <cellStyle name="Reports-2 10 2" xfId="3698"/>
    <cellStyle name="Reports-2 11" xfId="1665"/>
    <cellStyle name="Reports-2 11 2" xfId="3700"/>
    <cellStyle name="Reports-2 12" xfId="1666"/>
    <cellStyle name="Reports-2 12 2" xfId="3701"/>
    <cellStyle name="Reports-2 13" xfId="1849"/>
    <cellStyle name="Reports-2 13 2" xfId="3703"/>
    <cellStyle name="Reports-2 14" xfId="2032"/>
    <cellStyle name="Reports-2 14 2" xfId="3705"/>
    <cellStyle name="Reports-2 15" xfId="2215"/>
    <cellStyle name="Reports-2 15 2" xfId="3707"/>
    <cellStyle name="Reports-2 16" xfId="2581"/>
    <cellStyle name="Reports-2 16 2" xfId="3708"/>
    <cellStyle name="Reports-2 17" xfId="2764"/>
    <cellStyle name="Reports-2 17 2" xfId="3709"/>
    <cellStyle name="Reports-2 18" xfId="2765"/>
    <cellStyle name="Reports-2 18 2" xfId="3710"/>
    <cellStyle name="Reports-2 19" xfId="2948"/>
    <cellStyle name="Reports-2 19 2" xfId="3711"/>
    <cellStyle name="Reports-2 2" xfId="17"/>
    <cellStyle name="Reports-2 2 2" xfId="3682"/>
    <cellStyle name="Reports-2 20" xfId="3131"/>
    <cellStyle name="Reports-2 20 2" xfId="3712"/>
    <cellStyle name="Reports-2 21" xfId="3314"/>
    <cellStyle name="Reports-2 21 2" xfId="3713"/>
    <cellStyle name="Reports-2 3" xfId="200"/>
    <cellStyle name="Reports-2 3 2" xfId="3684"/>
    <cellStyle name="Reports-2 4" xfId="382"/>
    <cellStyle name="Reports-2 4 2" xfId="3685"/>
    <cellStyle name="Reports-2 5" xfId="565"/>
    <cellStyle name="Reports-2 5 2" xfId="3687"/>
    <cellStyle name="Reports-2 6" xfId="748"/>
    <cellStyle name="Reports-2 6 2" xfId="3689"/>
    <cellStyle name="Reports-2 7" xfId="931"/>
    <cellStyle name="Reports-2 7 2" xfId="3691"/>
    <cellStyle name="Reports-2 8" xfId="1114"/>
    <cellStyle name="Reports-2 8 2" xfId="3693"/>
    <cellStyle name="Reports-2 9" xfId="1297"/>
    <cellStyle name="Reports-2 9 2" xfId="3695"/>
  </cellStyles>
  <dxfs count="8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FFFFCC"/>
      <color rgb="FFCEFCFE"/>
      <color rgb="FFFF3399"/>
      <color rgb="FFFF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2.7613185234757916E-2"/>
          <c:y val="0.10653506942742634"/>
          <c:w val="0.93686029843899365"/>
          <c:h val="0.89346494755746941"/>
        </c:manualLayout>
      </c:layout>
      <c:barChart>
        <c:barDir val="bar"/>
        <c:grouping val="clustered"/>
        <c:ser>
          <c:idx val="3"/>
          <c:order val="0"/>
          <c:tx>
            <c:strRef>
              <c:f>KPI!$E$34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KPI!$AC$44:$AC$61</c:f>
              <c:strCache>
                <c:ptCount val="18"/>
                <c:pt idx="0">
                  <c:v>Handover</c:v>
                </c:pt>
                <c:pt idx="1">
                  <c:v>Incidencials</c:v>
                </c:pt>
                <c:pt idx="2">
                  <c:v>Drainages</c:v>
                </c:pt>
                <c:pt idx="3">
                  <c:v>Overpasses</c:v>
                </c:pt>
                <c:pt idx="4">
                  <c:v>Underpasses</c:v>
                </c:pt>
                <c:pt idx="5">
                  <c:v>Box Culverts</c:v>
                </c:pt>
                <c:pt idx="6">
                  <c:v>Viaducts</c:v>
                </c:pt>
                <c:pt idx="7">
                  <c:v>Wearing Course</c:v>
                </c:pt>
                <c:pt idx="8">
                  <c:v>Subgrade &amp; Subbase</c:v>
                </c:pt>
                <c:pt idx="9">
                  <c:v>Embankment Filling</c:v>
                </c:pt>
                <c:pt idx="10">
                  <c:v>Cutting</c:v>
                </c:pt>
                <c:pt idx="11">
                  <c:v>Clearing &amp; Grabing</c:v>
                </c:pt>
                <c:pt idx="12">
                  <c:v>Possetion of Site</c:v>
                </c:pt>
                <c:pt idx="13">
                  <c:v>Structural Design</c:v>
                </c:pt>
                <c:pt idx="14">
                  <c:v>Highway Design</c:v>
                </c:pt>
                <c:pt idx="15">
                  <c:v>Mobilization</c:v>
                </c:pt>
                <c:pt idx="16">
                  <c:v>Prelimnaries</c:v>
                </c:pt>
                <c:pt idx="17">
                  <c:v>Overall Construction</c:v>
                </c:pt>
              </c:strCache>
            </c:strRef>
          </c:cat>
          <c:val>
            <c:numRef>
              <c:f>KPI!$AE$44:$AE$61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0.57999999999999996</c:v>
                </c:pt>
                <c:pt idx="3">
                  <c:v>0.36388127659574471</c:v>
                </c:pt>
                <c:pt idx="4">
                  <c:v>0.36388127659574471</c:v>
                </c:pt>
                <c:pt idx="5">
                  <c:v>0.36388127659574471</c:v>
                </c:pt>
                <c:pt idx="6">
                  <c:v>0.36388127659574471</c:v>
                </c:pt>
                <c:pt idx="7">
                  <c:v>0.39882714285714288</c:v>
                </c:pt>
                <c:pt idx="8">
                  <c:v>0.41091899999999998</c:v>
                </c:pt>
                <c:pt idx="9">
                  <c:v>0.45341599999999999</c:v>
                </c:pt>
                <c:pt idx="10">
                  <c:v>0.45341583333333335</c:v>
                </c:pt>
                <c:pt idx="11">
                  <c:v>0.46504499999999999</c:v>
                </c:pt>
                <c:pt idx="12">
                  <c:v>1.0000029411764706</c:v>
                </c:pt>
                <c:pt idx="13">
                  <c:v>0.99999733333333329</c:v>
                </c:pt>
                <c:pt idx="14">
                  <c:v>0.99999971428571433</c:v>
                </c:pt>
                <c:pt idx="15">
                  <c:v>1.0000019607843138</c:v>
                </c:pt>
                <c:pt idx="16">
                  <c:v>1</c:v>
                </c:pt>
                <c:pt idx="17">
                  <c:v>0.46490976549951812</c:v>
                </c:pt>
              </c:numCache>
            </c:numRef>
          </c:val>
        </c:ser>
        <c:ser>
          <c:idx val="2"/>
          <c:order val="1"/>
          <c:tx>
            <c:strRef>
              <c:f>KPI!$D$34</c:f>
              <c:strCache>
                <c:ptCount val="1"/>
                <c:pt idx="0">
                  <c:v>Plan %
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KPI!$AC$44:$AC$61</c:f>
              <c:strCache>
                <c:ptCount val="18"/>
                <c:pt idx="0">
                  <c:v>Handover</c:v>
                </c:pt>
                <c:pt idx="1">
                  <c:v>Incidencials</c:v>
                </c:pt>
                <c:pt idx="2">
                  <c:v>Drainages</c:v>
                </c:pt>
                <c:pt idx="3">
                  <c:v>Overpasses</c:v>
                </c:pt>
                <c:pt idx="4">
                  <c:v>Underpasses</c:v>
                </c:pt>
                <c:pt idx="5">
                  <c:v>Box Culverts</c:v>
                </c:pt>
                <c:pt idx="6">
                  <c:v>Viaducts</c:v>
                </c:pt>
                <c:pt idx="7">
                  <c:v>Wearing Course</c:v>
                </c:pt>
                <c:pt idx="8">
                  <c:v>Subgrade &amp; Subbase</c:v>
                </c:pt>
                <c:pt idx="9">
                  <c:v>Embankment Filling</c:v>
                </c:pt>
                <c:pt idx="10">
                  <c:v>Cutting</c:v>
                </c:pt>
                <c:pt idx="11">
                  <c:v>Clearing &amp; Grabing</c:v>
                </c:pt>
                <c:pt idx="12">
                  <c:v>Possetion of Site</c:v>
                </c:pt>
                <c:pt idx="13">
                  <c:v>Structural Design</c:v>
                </c:pt>
                <c:pt idx="14">
                  <c:v>Highway Design</c:v>
                </c:pt>
                <c:pt idx="15">
                  <c:v>Mobilization</c:v>
                </c:pt>
                <c:pt idx="16">
                  <c:v>Prelimnaries</c:v>
                </c:pt>
                <c:pt idx="17">
                  <c:v>Overall Construction</c:v>
                </c:pt>
              </c:strCache>
            </c:strRef>
          </c:cat>
          <c:val>
            <c:numRef>
              <c:f>KPI!$AD$44:$AD$61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655400</c:v>
                </c:pt>
                <c:pt idx="3">
                  <c:v>855121</c:v>
                </c:pt>
                <c:pt idx="4">
                  <c:v>855121</c:v>
                </c:pt>
                <c:pt idx="5">
                  <c:v>855121</c:v>
                </c:pt>
                <c:pt idx="6">
                  <c:v>855121</c:v>
                </c:pt>
                <c:pt idx="7">
                  <c:v>558358</c:v>
                </c:pt>
                <c:pt idx="8">
                  <c:v>410919</c:v>
                </c:pt>
                <c:pt idx="9">
                  <c:v>1360248</c:v>
                </c:pt>
                <c:pt idx="10">
                  <c:v>1088198</c:v>
                </c:pt>
                <c:pt idx="11">
                  <c:v>279027</c:v>
                </c:pt>
                <c:pt idx="12">
                  <c:v>340001</c:v>
                </c:pt>
                <c:pt idx="13">
                  <c:v>1499996</c:v>
                </c:pt>
                <c:pt idx="14">
                  <c:v>3499999</c:v>
                </c:pt>
                <c:pt idx="15">
                  <c:v>510001</c:v>
                </c:pt>
                <c:pt idx="16">
                  <c:v>850000</c:v>
                </c:pt>
                <c:pt idx="17">
                  <c:v>14472641</c:v>
                </c:pt>
              </c:numCache>
            </c:numRef>
          </c:val>
        </c:ser>
        <c:dLbls/>
        <c:gapWidth val="75"/>
        <c:overlap val="-25"/>
        <c:axId val="98199808"/>
        <c:axId val="98205696"/>
      </c:barChart>
      <c:catAx>
        <c:axId val="98199808"/>
        <c:scaling>
          <c:orientation val="minMax"/>
        </c:scaling>
        <c:delete val="1"/>
        <c:axPos val="l"/>
        <c:majorGridlines/>
        <c:numFmt formatCode="General" sourceLinked="0"/>
        <c:tickLblPos val="none"/>
        <c:crossAx val="98205696"/>
        <c:crosses val="autoZero"/>
        <c:auto val="1"/>
        <c:lblAlgn val="ctr"/>
        <c:lblOffset val="100"/>
      </c:catAx>
      <c:valAx>
        <c:axId val="98205696"/>
        <c:scaling>
          <c:orientation val="minMax"/>
          <c:max val="1"/>
        </c:scaling>
        <c:delete val="1"/>
        <c:axPos val="b"/>
        <c:numFmt formatCode="0%" sourceLinked="0"/>
        <c:majorTickMark val="none"/>
        <c:tickLblPos val="nextTo"/>
        <c:crossAx val="98199808"/>
        <c:crosses val="autoZero"/>
        <c:crossBetween val="between"/>
        <c:majorUnit val="0.1"/>
        <c:minorUnit val="0.0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3.0823953630338252E-2"/>
          <c:y val="4.9791838982666092E-2"/>
          <c:w val="0.92789858823703431"/>
          <c:h val="5.4659768724352256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37355456430946"/>
          <c:y val="0.15236408084368519"/>
          <c:w val="0.84709122275884796"/>
          <c:h val="0.63058524631688362"/>
        </c:manualLayout>
      </c:layout>
      <c:barChart>
        <c:barDir val="col"/>
        <c:grouping val="clustered"/>
        <c:ser>
          <c:idx val="2"/>
          <c:order val="0"/>
          <c:tx>
            <c:strRef>
              <c:f>KPI!$AB$20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KPI!$AA$21:$AA$25</c:f>
              <c:strCache>
                <c:ptCount val="5"/>
                <c:pt idx="0">
                  <c:v>Site Possession &amp; Preliminaries</c:v>
                </c:pt>
                <c:pt idx="1">
                  <c:v>Design</c:v>
                </c:pt>
                <c:pt idx="2">
                  <c:v>Construction</c:v>
                </c:pt>
                <c:pt idx="3">
                  <c:v>Handover</c:v>
                </c:pt>
                <c:pt idx="4">
                  <c:v>Total</c:v>
                </c:pt>
              </c:strCache>
            </c:strRef>
          </c:cat>
          <c:val>
            <c:numRef>
              <c:f>KPI!$AD$21:$AD$25</c:f>
              <c:numCache>
                <c:formatCode>0.00%</c:formatCode>
                <c:ptCount val="5"/>
                <c:pt idx="0">
                  <c:v>3.8863520574787723E-2</c:v>
                </c:pt>
                <c:pt idx="1">
                  <c:v>0.16329180274330504</c:v>
                </c:pt>
                <c:pt idx="2">
                  <c:v>0.25384173742651861</c:v>
                </c:pt>
                <c:pt idx="3">
                  <c:v>0</c:v>
                </c:pt>
                <c:pt idx="4">
                  <c:v>0.45599706074461138</c:v>
                </c:pt>
              </c:numCache>
            </c:numRef>
          </c:val>
        </c:ser>
        <c:ser>
          <c:idx val="3"/>
          <c:order val="1"/>
          <c:tx>
            <c:strRef>
              <c:f>KPI!$AC$20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9126594655211566E-2"/>
                  <c:y val="5.669737774627937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749837630196477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17638079095831E-2"/>
                  <c:y val="2.83490325489477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18567333971096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436485188728322E-3"/>
                  <c:y val="-1.0502861795426844E-1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218567333971096E-2"/>
                  <c:y val="-2.86444994328617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KPI!$AA$21:$AA$25</c:f>
              <c:strCache>
                <c:ptCount val="5"/>
                <c:pt idx="0">
                  <c:v>Site Possession &amp; Preliminaries</c:v>
                </c:pt>
                <c:pt idx="1">
                  <c:v>Design</c:v>
                </c:pt>
                <c:pt idx="2">
                  <c:v>Construction</c:v>
                </c:pt>
                <c:pt idx="3">
                  <c:v>Handover</c:v>
                </c:pt>
                <c:pt idx="4">
                  <c:v>Total</c:v>
                </c:pt>
              </c:strCache>
            </c:strRef>
          </c:cat>
          <c:val>
            <c:numRef>
              <c:f>KPI!$AE$21:$AE$25</c:f>
              <c:numCache>
                <c:formatCode>0.00%</c:formatCode>
                <c:ptCount val="5"/>
                <c:pt idx="0">
                  <c:v>3.8863520574787723E-2</c:v>
                </c:pt>
                <c:pt idx="1">
                  <c:v>0.16329180274330504</c:v>
                </c:pt>
                <c:pt idx="2">
                  <c:v>2.9595754408883082E-2</c:v>
                </c:pt>
                <c:pt idx="3">
                  <c:v>0</c:v>
                </c:pt>
                <c:pt idx="4">
                  <c:v>0.23175107772697584</c:v>
                </c:pt>
              </c:numCache>
            </c:numRef>
          </c:val>
        </c:ser>
        <c:dLbls/>
        <c:axId val="98652928"/>
        <c:axId val="98654464"/>
      </c:barChart>
      <c:catAx>
        <c:axId val="9865292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98654464"/>
        <c:crosses val="autoZero"/>
        <c:auto val="1"/>
        <c:lblAlgn val="ctr"/>
        <c:lblOffset val="100"/>
      </c:catAx>
      <c:valAx>
        <c:axId val="98654464"/>
        <c:scaling>
          <c:orientation val="minMax"/>
          <c:max val="1"/>
        </c:scaling>
        <c:axPos val="l"/>
        <c:majorGridlines>
          <c:spPr>
            <a:ln w="3175">
              <a:prstDash val="sysDot"/>
            </a:ln>
          </c:spPr>
        </c:majorGridlines>
        <c:numFmt formatCode="0%" sourceLinked="0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986529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5265084976316002"/>
          <c:y val="5.1352037688707594E-2"/>
          <c:w val="0.51156863809873654"/>
          <c:h val="7.4468085106382989E-2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txPr>
    <a:bodyPr/>
    <a:lstStyle/>
    <a:p>
      <a:pPr>
        <a:defRPr sz="9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592703188457866"/>
          <c:y val="3.680179829126666E-2"/>
          <c:w val="0.71208216799356827"/>
          <c:h val="0.80591374544704797"/>
        </c:manualLayout>
      </c:layout>
      <c:lineChart>
        <c:grouping val="standard"/>
        <c:ser>
          <c:idx val="2"/>
          <c:order val="0"/>
          <c:tx>
            <c:strRef>
              <c:f>Baseline!$B$46</c:f>
              <c:strCache>
                <c:ptCount val="1"/>
                <c:pt idx="0">
                  <c:v>Baseline</c:v>
                </c:pt>
              </c:strCache>
            </c:strRef>
          </c:tx>
          <c:spPr>
            <a:ln w="60325">
              <a:solidFill>
                <a:srgbClr val="00A44A"/>
              </a:solidFill>
            </a:ln>
          </c:spPr>
          <c:marker>
            <c:symbol val="none"/>
          </c:marker>
          <c:cat>
            <c:numRef>
              <c:f>Actual!$D$47:$AK$47</c:f>
              <c:numCache>
                <c:formatCode>dd\-mmm\-yy</c:formatCode>
                <c:ptCount val="34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</c:numCache>
            </c:numRef>
          </c:cat>
          <c:val>
            <c:numRef>
              <c:f>Baseline!$D$48:$AK$48</c:f>
              <c:numCache>
                <c:formatCode>0.00%</c:formatCode>
                <c:ptCount val="34"/>
                <c:pt idx="0">
                  <c:v>8.3179234953544012E-3</c:v>
                </c:pt>
                <c:pt idx="1">
                  <c:v>2.7240824407191711E-2</c:v>
                </c:pt>
                <c:pt idx="2">
                  <c:v>4.6161251821193093E-2</c:v>
                </c:pt>
                <c:pt idx="3">
                  <c:v>6.0797484613317604E-2</c:v>
                </c:pt>
                <c:pt idx="4">
                  <c:v>7.4256942779161131E-2</c:v>
                </c:pt>
                <c:pt idx="5">
                  <c:v>8.8165067753763607E-2</c:v>
                </c:pt>
                <c:pt idx="6">
                  <c:v>0.10207319272836608</c:v>
                </c:pt>
                <c:pt idx="7">
                  <c:v>0.11553265089420962</c:v>
                </c:pt>
                <c:pt idx="8">
                  <c:v>0.12818536328535765</c:v>
                </c:pt>
                <c:pt idx="9">
                  <c:v>0.13850633817758784</c:v>
                </c:pt>
                <c:pt idx="10">
                  <c:v>0.14917135413245194</c:v>
                </c:pt>
                <c:pt idx="11">
                  <c:v>0.15983637008731608</c:v>
                </c:pt>
                <c:pt idx="12">
                  <c:v>0.16863142167821688</c:v>
                </c:pt>
                <c:pt idx="13">
                  <c:v>0.17836881169791011</c:v>
                </c:pt>
                <c:pt idx="14">
                  <c:v>0.18779209961578869</c:v>
                </c:pt>
                <c:pt idx="15">
                  <c:v>0.19752948963548192</c:v>
                </c:pt>
                <c:pt idx="16">
                  <c:v>0.2069527775533605</c:v>
                </c:pt>
                <c:pt idx="17">
                  <c:v>0.24433741658570243</c:v>
                </c:pt>
                <c:pt idx="18">
                  <c:v>0.29957219730610385</c:v>
                </c:pt>
                <c:pt idx="19">
                  <c:v>0.35407906294907437</c:v>
                </c:pt>
                <c:pt idx="20">
                  <c:v>0.41040282518425553</c:v>
                </c:pt>
                <c:pt idx="21">
                  <c:v>0.464909690827226</c:v>
                </c:pt>
                <c:pt idx="22">
                  <c:v>0.5212334530624072</c:v>
                </c:pt>
                <c:pt idx="23">
                  <c:v>0.5775572152975883</c:v>
                </c:pt>
                <c:pt idx="24">
                  <c:v>0.64764396921876499</c:v>
                </c:pt>
                <c:pt idx="25">
                  <c:v>0.72351665218171346</c:v>
                </c:pt>
                <c:pt idx="26">
                  <c:v>0.79694182509768308</c:v>
                </c:pt>
                <c:pt idx="27">
                  <c:v>0.86923069880650516</c:v>
                </c:pt>
                <c:pt idx="28">
                  <c:v>0.92316756775336206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Actual!$B$46</c:f>
              <c:strCache>
                <c:ptCount val="1"/>
                <c:pt idx="0">
                  <c:v>Actual</c:v>
                </c:pt>
              </c:strCache>
            </c:strRef>
          </c:tx>
          <c:spPr>
            <a:ln w="603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Actual!$D$47:$AK$47</c:f>
              <c:numCache>
                <c:formatCode>dd\-mmm\-yy</c:formatCode>
                <c:ptCount val="34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</c:numCache>
            </c:numRef>
          </c:cat>
          <c:val>
            <c:numRef>
              <c:f>Actual!$D$48:$AK$48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8.3179234953544012E-3</c:v>
                </c:pt>
                <c:pt idx="5">
                  <c:v>2.7240824407191711E-2</c:v>
                </c:pt>
                <c:pt idx="6">
                  <c:v>4.6161251821193093E-2</c:v>
                </c:pt>
                <c:pt idx="7">
                  <c:v>6.0797484613317604E-2</c:v>
                </c:pt>
                <c:pt idx="8">
                  <c:v>7.4256942779161131E-2</c:v>
                </c:pt>
                <c:pt idx="9">
                  <c:v>8.8165067753763607E-2</c:v>
                </c:pt>
                <c:pt idx="10">
                  <c:v>0.10207319272836608</c:v>
                </c:pt>
                <c:pt idx="11">
                  <c:v>0.11553265089420962</c:v>
                </c:pt>
                <c:pt idx="12">
                  <c:v>0.12818536328535765</c:v>
                </c:pt>
                <c:pt idx="13">
                  <c:v>0.13850633817758784</c:v>
                </c:pt>
                <c:pt idx="14">
                  <c:v>0.14917135413245194</c:v>
                </c:pt>
                <c:pt idx="15">
                  <c:v>0.15983637008731608</c:v>
                </c:pt>
                <c:pt idx="16">
                  <c:v>0.16863142167821688</c:v>
                </c:pt>
                <c:pt idx="17">
                  <c:v>0.17836881169791011</c:v>
                </c:pt>
                <c:pt idx="18">
                  <c:v>0.18779209961578869</c:v>
                </c:pt>
                <c:pt idx="19">
                  <c:v>0.19752948963548192</c:v>
                </c:pt>
                <c:pt idx="20">
                  <c:v>0.2069527775533605</c:v>
                </c:pt>
                <c:pt idx="21">
                  <c:v>0.24433741658570243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/>
        <c:marker val="1"/>
        <c:axId val="98688000"/>
        <c:axId val="98693888"/>
        <c:extLst/>
      </c:lineChart>
      <c:dateAx>
        <c:axId val="98688000"/>
        <c:scaling>
          <c:orientation val="minMax"/>
        </c:scaling>
        <c:axPos val="b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25000"/>
                </a:schemeClr>
              </a:solidFill>
              <a:prstDash val="sysDot"/>
            </a:ln>
          </c:spPr>
        </c:majorGridlines>
        <c:numFmt formatCode="dd\-mmm\-yy" sourceLinked="1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98693888"/>
        <c:crosses val="autoZero"/>
        <c:auto val="1"/>
        <c:lblOffset val="100"/>
        <c:baseTimeUnit val="days"/>
      </c:dateAx>
      <c:valAx>
        <c:axId val="98693888"/>
        <c:scaling>
          <c:orientation val="minMax"/>
        </c:scaling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  <a:prstDash val="sysDot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868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17565675215487"/>
          <c:y val="0.35861554815948987"/>
          <c:w val="0.12076748582854496"/>
          <c:h val="0.5697788980460945"/>
        </c:manualLayout>
      </c:layout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232091415402341"/>
          <c:y val="8.5562487386699693E-2"/>
          <c:w val="0.88745738757425818"/>
          <c:h val="0.67135662077618963"/>
        </c:manualLayout>
      </c:layout>
      <c:lineChart>
        <c:grouping val="standard"/>
        <c:ser>
          <c:idx val="2"/>
          <c:order val="0"/>
          <c:tx>
            <c:strRef>
              <c:f>'Manpower Curve'!$B$3</c:f>
              <c:strCache>
                <c:ptCount val="1"/>
                <c:pt idx="0">
                  <c:v>Baseline</c:v>
                </c:pt>
              </c:strCache>
            </c:strRef>
          </c:tx>
          <c:spPr>
            <a:ln w="6032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'Manpower Curve'!$C$2:$BI$2</c:f>
              <c:numCache>
                <c:formatCode>[$-409]d\-mmm\-yy;@</c:formatCode>
                <c:ptCount val="59"/>
                <c:pt idx="0">
                  <c:v>42767</c:v>
                </c:pt>
                <c:pt idx="1">
                  <c:v>42774</c:v>
                </c:pt>
                <c:pt idx="2">
                  <c:v>42781</c:v>
                </c:pt>
                <c:pt idx="3">
                  <c:v>42788</c:v>
                </c:pt>
                <c:pt idx="4">
                  <c:v>42795</c:v>
                </c:pt>
                <c:pt idx="5">
                  <c:v>42802</c:v>
                </c:pt>
                <c:pt idx="6">
                  <c:v>42809</c:v>
                </c:pt>
                <c:pt idx="7">
                  <c:v>42816</c:v>
                </c:pt>
                <c:pt idx="8">
                  <c:v>42823</c:v>
                </c:pt>
                <c:pt idx="9">
                  <c:v>42830</c:v>
                </c:pt>
                <c:pt idx="10">
                  <c:v>42837</c:v>
                </c:pt>
                <c:pt idx="11">
                  <c:v>42844</c:v>
                </c:pt>
                <c:pt idx="12">
                  <c:v>42851</c:v>
                </c:pt>
                <c:pt idx="13">
                  <c:v>42858</c:v>
                </c:pt>
                <c:pt idx="14">
                  <c:v>42865</c:v>
                </c:pt>
                <c:pt idx="15">
                  <c:v>42872</c:v>
                </c:pt>
                <c:pt idx="16">
                  <c:v>42879</c:v>
                </c:pt>
                <c:pt idx="17">
                  <c:v>42886</c:v>
                </c:pt>
                <c:pt idx="18">
                  <c:v>42893</c:v>
                </c:pt>
                <c:pt idx="19">
                  <c:v>42900</c:v>
                </c:pt>
                <c:pt idx="20">
                  <c:v>42907</c:v>
                </c:pt>
                <c:pt idx="21">
                  <c:v>42914</c:v>
                </c:pt>
                <c:pt idx="22">
                  <c:v>42921</c:v>
                </c:pt>
                <c:pt idx="23">
                  <c:v>42928</c:v>
                </c:pt>
                <c:pt idx="24">
                  <c:v>42935</c:v>
                </c:pt>
                <c:pt idx="25">
                  <c:v>42942</c:v>
                </c:pt>
                <c:pt idx="26">
                  <c:v>42949</c:v>
                </c:pt>
                <c:pt idx="27">
                  <c:v>42956</c:v>
                </c:pt>
                <c:pt idx="28">
                  <c:v>42963</c:v>
                </c:pt>
                <c:pt idx="29">
                  <c:v>42970</c:v>
                </c:pt>
                <c:pt idx="30">
                  <c:v>42977</c:v>
                </c:pt>
                <c:pt idx="31">
                  <c:v>42984</c:v>
                </c:pt>
                <c:pt idx="32">
                  <c:v>42991</c:v>
                </c:pt>
                <c:pt idx="33">
                  <c:v>42998</c:v>
                </c:pt>
                <c:pt idx="34">
                  <c:v>43005</c:v>
                </c:pt>
                <c:pt idx="35">
                  <c:v>43012</c:v>
                </c:pt>
                <c:pt idx="36">
                  <c:v>43019</c:v>
                </c:pt>
                <c:pt idx="37">
                  <c:v>43026</c:v>
                </c:pt>
                <c:pt idx="38">
                  <c:v>43033</c:v>
                </c:pt>
                <c:pt idx="39">
                  <c:v>43040</c:v>
                </c:pt>
                <c:pt idx="40">
                  <c:v>43047</c:v>
                </c:pt>
                <c:pt idx="41">
                  <c:v>43054</c:v>
                </c:pt>
                <c:pt idx="42">
                  <c:v>43061</c:v>
                </c:pt>
                <c:pt idx="43">
                  <c:v>43068</c:v>
                </c:pt>
                <c:pt idx="44">
                  <c:v>43075</c:v>
                </c:pt>
                <c:pt idx="45">
                  <c:v>43082</c:v>
                </c:pt>
                <c:pt idx="46">
                  <c:v>43089</c:v>
                </c:pt>
                <c:pt idx="47">
                  <c:v>43096</c:v>
                </c:pt>
                <c:pt idx="48">
                  <c:v>43103</c:v>
                </c:pt>
                <c:pt idx="49">
                  <c:v>43110</c:v>
                </c:pt>
                <c:pt idx="50">
                  <c:v>43117</c:v>
                </c:pt>
                <c:pt idx="51">
                  <c:v>43124</c:v>
                </c:pt>
                <c:pt idx="52">
                  <c:v>43131</c:v>
                </c:pt>
                <c:pt idx="53">
                  <c:v>43138</c:v>
                </c:pt>
                <c:pt idx="54">
                  <c:v>43145</c:v>
                </c:pt>
                <c:pt idx="55">
                  <c:v>43152</c:v>
                </c:pt>
                <c:pt idx="56">
                  <c:v>43159</c:v>
                </c:pt>
                <c:pt idx="57">
                  <c:v>43166</c:v>
                </c:pt>
                <c:pt idx="58">
                  <c:v>43173</c:v>
                </c:pt>
              </c:numCache>
            </c:numRef>
          </c:cat>
          <c:val>
            <c:numRef>
              <c:f>'Manpower Curve'!$C$3:$AU$3</c:f>
              <c:numCache>
                <c:formatCode>General</c:formatCode>
                <c:ptCount val="45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94</c:v>
                </c:pt>
                <c:pt idx="29">
                  <c:v>94</c:v>
                </c:pt>
                <c:pt idx="30">
                  <c:v>94</c:v>
                </c:pt>
                <c:pt idx="31">
                  <c:v>94</c:v>
                </c:pt>
                <c:pt idx="32">
                  <c:v>94</c:v>
                </c:pt>
                <c:pt idx="33">
                  <c:v>61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44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</c:numCache>
            </c:numRef>
          </c:val>
        </c:ser>
        <c:ser>
          <c:idx val="5"/>
          <c:order val="1"/>
          <c:tx>
            <c:strRef>
              <c:f>'Manpower Curve'!$B$4</c:f>
              <c:strCache>
                <c:ptCount val="1"/>
                <c:pt idx="0">
                  <c:v>Actual</c:v>
                </c:pt>
              </c:strCache>
            </c:strRef>
          </c:tx>
          <c:spPr>
            <a:ln w="412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0"/>
              <c:layout>
                <c:manualLayout>
                  <c:x val="-2.5488516630788115E-2"/>
                  <c:y val="-9.27013924998347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3729780594217483E-2"/>
                  <c:y val="-8.702811266508356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2806214311577913E-2"/>
                  <c:y val="-8.62359663710805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'Manpower Curve'!$C$2:$BI$2</c:f>
              <c:numCache>
                <c:formatCode>[$-409]d\-mmm\-yy;@</c:formatCode>
                <c:ptCount val="59"/>
                <c:pt idx="0">
                  <c:v>42767</c:v>
                </c:pt>
                <c:pt idx="1">
                  <c:v>42774</c:v>
                </c:pt>
                <c:pt idx="2">
                  <c:v>42781</c:v>
                </c:pt>
                <c:pt idx="3">
                  <c:v>42788</c:v>
                </c:pt>
                <c:pt idx="4">
                  <c:v>42795</c:v>
                </c:pt>
                <c:pt idx="5">
                  <c:v>42802</c:v>
                </c:pt>
                <c:pt idx="6">
                  <c:v>42809</c:v>
                </c:pt>
                <c:pt idx="7">
                  <c:v>42816</c:v>
                </c:pt>
                <c:pt idx="8">
                  <c:v>42823</c:v>
                </c:pt>
                <c:pt idx="9">
                  <c:v>42830</c:v>
                </c:pt>
                <c:pt idx="10">
                  <c:v>42837</c:v>
                </c:pt>
                <c:pt idx="11">
                  <c:v>42844</c:v>
                </c:pt>
                <c:pt idx="12">
                  <c:v>42851</c:v>
                </c:pt>
                <c:pt idx="13">
                  <c:v>42858</c:v>
                </c:pt>
                <c:pt idx="14">
                  <c:v>42865</c:v>
                </c:pt>
                <c:pt idx="15">
                  <c:v>42872</c:v>
                </c:pt>
                <c:pt idx="16">
                  <c:v>42879</c:v>
                </c:pt>
                <c:pt idx="17">
                  <c:v>42886</c:v>
                </c:pt>
                <c:pt idx="18">
                  <c:v>42893</c:v>
                </c:pt>
                <c:pt idx="19">
                  <c:v>42900</c:v>
                </c:pt>
                <c:pt idx="20">
                  <c:v>42907</c:v>
                </c:pt>
                <c:pt idx="21">
                  <c:v>42914</c:v>
                </c:pt>
                <c:pt idx="22">
                  <c:v>42921</c:v>
                </c:pt>
                <c:pt idx="23">
                  <c:v>42928</c:v>
                </c:pt>
                <c:pt idx="24">
                  <c:v>42935</c:v>
                </c:pt>
                <c:pt idx="25">
                  <c:v>42942</c:v>
                </c:pt>
                <c:pt idx="26">
                  <c:v>42949</c:v>
                </c:pt>
                <c:pt idx="27">
                  <c:v>42956</c:v>
                </c:pt>
                <c:pt idx="28">
                  <c:v>42963</c:v>
                </c:pt>
                <c:pt idx="29">
                  <c:v>42970</c:v>
                </c:pt>
                <c:pt idx="30">
                  <c:v>42977</c:v>
                </c:pt>
                <c:pt idx="31">
                  <c:v>42984</c:v>
                </c:pt>
                <c:pt idx="32">
                  <c:v>42991</c:v>
                </c:pt>
                <c:pt idx="33">
                  <c:v>42998</c:v>
                </c:pt>
                <c:pt idx="34">
                  <c:v>43005</c:v>
                </c:pt>
                <c:pt idx="35">
                  <c:v>43012</c:v>
                </c:pt>
                <c:pt idx="36">
                  <c:v>43019</c:v>
                </c:pt>
                <c:pt idx="37">
                  <c:v>43026</c:v>
                </c:pt>
                <c:pt idx="38">
                  <c:v>43033</c:v>
                </c:pt>
                <c:pt idx="39">
                  <c:v>43040</c:v>
                </c:pt>
                <c:pt idx="40">
                  <c:v>43047</c:v>
                </c:pt>
                <c:pt idx="41">
                  <c:v>43054</c:v>
                </c:pt>
                <c:pt idx="42">
                  <c:v>43061</c:v>
                </c:pt>
                <c:pt idx="43">
                  <c:v>43068</c:v>
                </c:pt>
                <c:pt idx="44">
                  <c:v>43075</c:v>
                </c:pt>
                <c:pt idx="45">
                  <c:v>43082</c:v>
                </c:pt>
                <c:pt idx="46">
                  <c:v>43089</c:v>
                </c:pt>
                <c:pt idx="47">
                  <c:v>43096</c:v>
                </c:pt>
                <c:pt idx="48">
                  <c:v>43103</c:v>
                </c:pt>
                <c:pt idx="49">
                  <c:v>43110</c:v>
                </c:pt>
                <c:pt idx="50">
                  <c:v>43117</c:v>
                </c:pt>
                <c:pt idx="51">
                  <c:v>43124</c:v>
                </c:pt>
                <c:pt idx="52">
                  <c:v>43131</c:v>
                </c:pt>
                <c:pt idx="53">
                  <c:v>43138</c:v>
                </c:pt>
                <c:pt idx="54">
                  <c:v>43145</c:v>
                </c:pt>
                <c:pt idx="55">
                  <c:v>43152</c:v>
                </c:pt>
                <c:pt idx="56">
                  <c:v>43159</c:v>
                </c:pt>
                <c:pt idx="57">
                  <c:v>43166</c:v>
                </c:pt>
                <c:pt idx="58">
                  <c:v>43173</c:v>
                </c:pt>
              </c:numCache>
            </c:numRef>
          </c:cat>
          <c:val>
            <c:numRef>
              <c:f>'Manpower Curve'!$C$4:$BI$4</c:f>
              <c:numCache>
                <c:formatCode>General</c:formatCode>
                <c:ptCount val="59"/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499</c:v>
                </c:pt>
                <c:pt idx="34">
                  <c:v>499</c:v>
                </c:pt>
                <c:pt idx="35">
                  <c:v>499</c:v>
                </c:pt>
                <c:pt idx="36">
                  <c:v>499</c:v>
                </c:pt>
                <c:pt idx="37">
                  <c:v>945</c:v>
                </c:pt>
                <c:pt idx="38">
                  <c:v>945</c:v>
                </c:pt>
                <c:pt idx="39">
                  <c:v>945</c:v>
                </c:pt>
                <c:pt idx="40">
                  <c:v>945</c:v>
                </c:pt>
                <c:pt idx="41">
                  <c:v>960</c:v>
                </c:pt>
                <c:pt idx="42">
                  <c:v>960</c:v>
                </c:pt>
                <c:pt idx="43">
                  <c:v>960</c:v>
                </c:pt>
                <c:pt idx="44">
                  <c:v>960</c:v>
                </c:pt>
                <c:pt idx="45">
                  <c:v>947</c:v>
                </c:pt>
                <c:pt idx="46">
                  <c:v>907</c:v>
                </c:pt>
                <c:pt idx="47">
                  <c:v>853</c:v>
                </c:pt>
                <c:pt idx="48">
                  <c:v>716</c:v>
                </c:pt>
                <c:pt idx="49">
                  <c:v>527</c:v>
                </c:pt>
                <c:pt idx="50">
                  <c:v>416</c:v>
                </c:pt>
                <c:pt idx="51">
                  <c:v>346</c:v>
                </c:pt>
                <c:pt idx="52">
                  <c:v>251</c:v>
                </c:pt>
                <c:pt idx="53">
                  <c:v>203</c:v>
                </c:pt>
                <c:pt idx="54">
                  <c:v>175</c:v>
                </c:pt>
                <c:pt idx="55">
                  <c:v>159</c:v>
                </c:pt>
              </c:numCache>
            </c:numRef>
          </c:val>
        </c:ser>
        <c:dLbls/>
        <c:marker val="1"/>
        <c:axId val="100625792"/>
        <c:axId val="100627584"/>
      </c:lineChart>
      <c:dateAx>
        <c:axId val="100625792"/>
        <c:scaling>
          <c:orientation val="minMax"/>
        </c:scaling>
        <c:axPos val="b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25000"/>
                </a:schemeClr>
              </a:solidFill>
              <a:prstDash val="sysDot"/>
            </a:ln>
          </c:spPr>
        </c:majorGridlines>
        <c:numFmt formatCode="[$-409]d\-mmm\-yy;@" sourceLinked="1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00627584"/>
        <c:crosses val="autoZero"/>
        <c:auto val="1"/>
        <c:lblOffset val="100"/>
        <c:baseTimeUnit val="days"/>
      </c:dateAx>
      <c:valAx>
        <c:axId val="100627584"/>
        <c:scaling>
          <c:orientation val="minMax"/>
          <c:max val="1000"/>
          <c:min val="0"/>
        </c:scaling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625792"/>
        <c:crosses val="autoZero"/>
        <c:crossBetween val="between"/>
        <c:majorUnit val="250"/>
        <c:minorUnit val="50"/>
      </c:valAx>
    </c:plotArea>
    <c:legend>
      <c:legendPos val="r"/>
      <c:layout>
        <c:manualLayout>
          <c:xMode val="edge"/>
          <c:yMode val="edge"/>
          <c:x val="0.12666806702515843"/>
          <c:y val="0.26790655928692536"/>
          <c:w val="0.17839455466715168"/>
          <c:h val="0.2369146967730811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0"/>
      <c:rotY val="0"/>
      <c:rAngAx val="1"/>
    </c:view3D>
    <c:plotArea>
      <c:layout>
        <c:manualLayout>
          <c:layoutTarget val="inner"/>
          <c:xMode val="edge"/>
          <c:yMode val="edge"/>
          <c:x val="4.2226547777961775E-2"/>
          <c:y val="0.23554575946797032"/>
          <c:w val="0.91929387742216861"/>
          <c:h val="0.48025192008210693"/>
        </c:manualLayout>
      </c:layout>
      <c:bar3DChart>
        <c:barDir val="bar"/>
        <c:grouping val="stacked"/>
        <c:ser>
          <c:idx val="0"/>
          <c:order val="0"/>
          <c:tx>
            <c:strRef>
              <c:f>KPI!$AA$3</c:f>
              <c:strCache>
                <c:ptCount val="1"/>
                <c:pt idx="0">
                  <c:v>Contract</c:v>
                </c:pt>
              </c:strCache>
            </c:strRef>
          </c:tx>
          <c:spPr>
            <a:solidFill>
              <a:srgbClr val="92D05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KPI!$AA$4</c:f>
              <c:strCache>
                <c:ptCount val="1"/>
                <c:pt idx="0">
                  <c:v>Elapsed</c:v>
                </c:pt>
              </c:strCache>
            </c:strRef>
          </c:tx>
          <c:spPr>
            <a:solidFill>
              <a:srgbClr val="FF3399"/>
            </a:solidFill>
          </c:spPr>
          <c:dLbls>
            <c:dLbl>
              <c:idx val="0"/>
              <c:layout>
                <c:manualLayout>
                  <c:x val="2.1858532480622515E-3"/>
                  <c:y val="9.155502333840527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KPI!$AB$4</c:f>
              <c:numCache>
                <c:formatCode>_-* #,##0.00_-;\-* #,##0.00_-;_-* "-"??_-;_-@_-</c:formatCode>
                <c:ptCount val="1"/>
                <c:pt idx="0">
                  <c:v>0.64067127344521224</c:v>
                </c:pt>
              </c:numCache>
            </c:numRef>
          </c:val>
        </c:ser>
        <c:ser>
          <c:idx val="2"/>
          <c:order val="2"/>
          <c:tx>
            <c:strRef>
              <c:f>KPI!$AA$5</c:f>
              <c:strCache>
                <c:ptCount val="1"/>
                <c:pt idx="0">
                  <c:v>Remaining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KPI!$AB$5</c:f>
              <c:numCache>
                <c:formatCode>_-* #,##0.00_-;\-* #,##0.00_-;_-* "-"??_-;_-@_-</c:formatCode>
                <c:ptCount val="1"/>
                <c:pt idx="0">
                  <c:v>0.35932872655478776</c:v>
                </c:pt>
              </c:numCache>
            </c:numRef>
          </c:val>
        </c:ser>
        <c:dLbls/>
        <c:shape val="box"/>
        <c:axId val="100580736"/>
        <c:axId val="100586624"/>
        <c:axId val="0"/>
      </c:bar3DChart>
      <c:catAx>
        <c:axId val="100580736"/>
        <c:scaling>
          <c:orientation val="minMax"/>
        </c:scaling>
        <c:delete val="1"/>
        <c:axPos val="l"/>
        <c:tickLblPos val="nextTo"/>
        <c:crossAx val="100586624"/>
        <c:crosses val="autoZero"/>
        <c:auto val="1"/>
        <c:lblAlgn val="ctr"/>
        <c:lblOffset val="100"/>
      </c:catAx>
      <c:valAx>
        <c:axId val="100586624"/>
        <c:scaling>
          <c:orientation val="minMax"/>
          <c:min val="0"/>
        </c:scaling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058073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lang="en-US" sz="1600" b="1" i="1" u="none" strike="noStrike" kern="1200" baseline="0">
                <a:solidFill>
                  <a:schemeClr val="tx1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0"/>
        <c:txPr>
          <a:bodyPr/>
          <a:lstStyle/>
          <a:p>
            <a:pPr>
              <a:defRPr lang="en-US" sz="1600" b="1" i="1" u="none" strike="noStrike" kern="1200" baseline="0">
                <a:solidFill>
                  <a:schemeClr val="tx1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US" sz="1600" b="1" i="1" u="none" strike="noStrike" kern="1200" baseline="0">
                <a:solidFill>
                  <a:schemeClr val="tx1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"/>
          <c:w val="0.93552050321882585"/>
          <c:h val="0.26697763504681499"/>
        </c:manualLayout>
      </c:layout>
      <c:txPr>
        <a:bodyPr/>
        <a:lstStyle/>
        <a:p>
          <a:pPr>
            <a:defRPr lang="en-US" sz="1600" b="1" i="1" u="none" strike="noStrike" kern="1200" baseline="0">
              <a:solidFill>
                <a:srgbClr val="FF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CEFEE65-E548-4BEC-A365-D959642FF51C}" type="doc">
      <dgm:prSet loTypeId="urn:microsoft.com/office/officeart/2005/8/layout/pyramid1" loCatId="pyramid" qsTypeId="urn:microsoft.com/office/officeart/2005/8/quickstyle/3d5" qsCatId="3D" csTypeId="urn:microsoft.com/office/officeart/2005/8/colors/colorful4" csCatId="colorful" phldr="1"/>
      <dgm:spPr>
        <a:scene3d>
          <a:camera prst="isometricOffAxis2Left" zoom="95000">
            <a:rot lat="1080000" lon="1560000" rev="0"/>
          </a:camera>
          <a:lightRig rig="flat" dir="t">
            <a:rot lat="0" lon="0" rev="3600000"/>
          </a:lightRig>
        </a:scene3d>
      </dgm:spPr>
    </dgm:pt>
    <dgm:pt modelId="{F5E37BDC-B88B-4349-8CB9-B8F5338CEE45}">
      <dgm:prSet phldrT="[Text]"/>
      <dgm:spPr>
        <a:solidFill>
          <a:srgbClr val="FF0000"/>
        </a:solidFill>
        <a:sp3d extrusionH="2540000" prstMaterial="metal">
          <a:bevelB w="152400" h="120650" prst="softRound"/>
          <a:contourClr>
            <a:schemeClr val="lt1"/>
          </a:contourClr>
        </a:sp3d>
      </dgm:spPr>
      <dgm:t>
        <a:bodyPr/>
        <a:lstStyle/>
        <a:p>
          <a:r>
            <a:rPr lang="en-US" b="1" dirty="0" smtClean="0">
              <a:solidFill>
                <a:srgbClr val="FFFF00"/>
              </a:solidFill>
            </a:rPr>
            <a:t>0</a:t>
          </a:r>
          <a:endParaRPr lang="en-US" b="1" dirty="0">
            <a:solidFill>
              <a:srgbClr val="FFFF00"/>
            </a:solidFill>
          </a:endParaRPr>
        </a:p>
      </dgm:t>
    </dgm:pt>
    <dgm:pt modelId="{35CAC1FD-1836-4238-953B-C5E6DEB41443}" type="parTrans" cxnId="{0328C88E-E49F-429D-92DD-BFDC9C3FE5F1}">
      <dgm:prSet/>
      <dgm:spPr/>
      <dgm:t>
        <a:bodyPr/>
        <a:lstStyle/>
        <a:p>
          <a:endParaRPr lang="en-US"/>
        </a:p>
      </dgm:t>
    </dgm:pt>
    <dgm:pt modelId="{A90F213A-27AB-44F3-B9C9-95E4C1E14B85}" type="sibTrans" cxnId="{0328C88E-E49F-429D-92DD-BFDC9C3FE5F1}">
      <dgm:prSet/>
      <dgm:spPr/>
      <dgm:t>
        <a:bodyPr/>
        <a:lstStyle/>
        <a:p>
          <a:endParaRPr lang="en-US"/>
        </a:p>
      </dgm:t>
    </dgm:pt>
    <dgm:pt modelId="{7462A294-66BE-484B-8D7F-ABAEA66C608D}">
      <dgm:prSet phldrT="[Text]"/>
      <dgm:spPr>
        <a:solidFill>
          <a:schemeClr val="tx2">
            <a:lumMod val="60000"/>
            <a:lumOff val="40000"/>
          </a:schemeClr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1</a:t>
          </a:r>
        </a:p>
      </dgm:t>
    </dgm:pt>
    <dgm:pt modelId="{BE2BF5BF-C687-4757-AC35-92F285521774}" type="parTrans" cxnId="{A8E714D2-2A58-4236-ADFF-CAC0A7908AFF}">
      <dgm:prSet/>
      <dgm:spPr/>
      <dgm:t>
        <a:bodyPr/>
        <a:lstStyle/>
        <a:p>
          <a:endParaRPr lang="en-US"/>
        </a:p>
      </dgm:t>
    </dgm:pt>
    <dgm:pt modelId="{4C2332F9-E8F2-49A6-8B71-CCE2B87ABF39}" type="sibTrans" cxnId="{A8E714D2-2A58-4236-ADFF-CAC0A7908AFF}">
      <dgm:prSet/>
      <dgm:spPr/>
      <dgm:t>
        <a:bodyPr/>
        <a:lstStyle/>
        <a:p>
          <a:endParaRPr lang="en-US"/>
        </a:p>
      </dgm:t>
    </dgm:pt>
    <dgm:pt modelId="{ACE6FEDB-5A11-4E8A-B68D-01E0574DBA97}">
      <dgm:prSet phldrT="[Text]"/>
      <dgm:spPr>
        <a:solidFill>
          <a:srgbClr val="6699FF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 smtClean="0">
              <a:solidFill>
                <a:srgbClr val="FFFF00"/>
              </a:solidFill>
            </a:rPr>
            <a:t>0</a:t>
          </a:r>
          <a:endParaRPr lang="en-US" b="1" dirty="0">
            <a:solidFill>
              <a:srgbClr val="FFFF00"/>
            </a:solidFill>
          </a:endParaRPr>
        </a:p>
      </dgm:t>
    </dgm:pt>
    <dgm:pt modelId="{99DC9F83-B0B6-4BC9-A91F-61B9F616370E}" type="parTrans" cxnId="{E12EE8FD-281A-46E6-BAEE-957032305D6F}">
      <dgm:prSet/>
      <dgm:spPr/>
      <dgm:t>
        <a:bodyPr/>
        <a:lstStyle/>
        <a:p>
          <a:endParaRPr lang="en-US"/>
        </a:p>
      </dgm:t>
    </dgm:pt>
    <dgm:pt modelId="{6120E06A-E9D7-4EE0-AFDD-1171DA059F44}" type="sibTrans" cxnId="{E12EE8FD-281A-46E6-BAEE-957032305D6F}">
      <dgm:prSet/>
      <dgm:spPr/>
      <dgm:t>
        <a:bodyPr/>
        <a:lstStyle/>
        <a:p>
          <a:endParaRPr lang="en-US"/>
        </a:p>
      </dgm:t>
    </dgm:pt>
    <dgm:pt modelId="{681AA5E8-6D78-48F2-BB6E-2F1397BCD959}">
      <dgm:prSet phldrT="[Text]"/>
      <dgm:spPr>
        <a:solidFill>
          <a:srgbClr val="00B0F0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5</a:t>
          </a:r>
        </a:p>
      </dgm:t>
    </dgm:pt>
    <dgm:pt modelId="{627B7974-4F42-41B9-B3D6-EF2572AE2825}" type="parTrans" cxnId="{C7F4EEA4-AD3A-474D-A01F-C8362A01CE1D}">
      <dgm:prSet/>
      <dgm:spPr/>
      <dgm:t>
        <a:bodyPr/>
        <a:lstStyle/>
        <a:p>
          <a:endParaRPr lang="en-US"/>
        </a:p>
      </dgm:t>
    </dgm:pt>
    <dgm:pt modelId="{F0F8668E-A477-44CC-BBEF-A20A31602EA6}" type="sibTrans" cxnId="{C7F4EEA4-AD3A-474D-A01F-C8362A01CE1D}">
      <dgm:prSet/>
      <dgm:spPr/>
      <dgm:t>
        <a:bodyPr/>
        <a:lstStyle/>
        <a:p>
          <a:endParaRPr lang="en-US"/>
        </a:p>
      </dgm:t>
    </dgm:pt>
    <dgm:pt modelId="{3E4E65A2-BD94-47FB-B362-87A52DB4006B}">
      <dgm:prSet phldrT="[Text]"/>
      <dgm:spPr>
        <a:solidFill>
          <a:srgbClr val="006699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0</a:t>
          </a:r>
        </a:p>
      </dgm:t>
    </dgm:pt>
    <dgm:pt modelId="{ED61B0DE-11E4-4EB3-ABA4-ADA58A698CD8}" type="parTrans" cxnId="{2874EFFF-61EA-45E0-8CE4-420C80C6B220}">
      <dgm:prSet/>
      <dgm:spPr/>
      <dgm:t>
        <a:bodyPr/>
        <a:lstStyle/>
        <a:p>
          <a:endParaRPr lang="en-US"/>
        </a:p>
      </dgm:t>
    </dgm:pt>
    <dgm:pt modelId="{B60897A7-ADD1-4276-B610-C2CE445F22EE}" type="sibTrans" cxnId="{2874EFFF-61EA-45E0-8CE4-420C80C6B220}">
      <dgm:prSet/>
      <dgm:spPr/>
      <dgm:t>
        <a:bodyPr/>
        <a:lstStyle/>
        <a:p>
          <a:endParaRPr lang="en-US"/>
        </a:p>
      </dgm:t>
    </dgm:pt>
    <dgm:pt modelId="{30D9DDC0-7291-4BEF-A597-255A30BBF8B4}">
      <dgm:prSet phldrT="[Text]"/>
      <dgm:spPr>
        <a:solidFill>
          <a:srgbClr val="00B050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251</a:t>
          </a:r>
        </a:p>
      </dgm:t>
    </dgm:pt>
    <dgm:pt modelId="{D0DE4D45-8768-4FC1-B5D4-71E6FA8FCBCB}" type="parTrans" cxnId="{B99DFC53-0339-4D17-8070-EC557890237C}">
      <dgm:prSet/>
      <dgm:spPr/>
      <dgm:t>
        <a:bodyPr/>
        <a:lstStyle/>
        <a:p>
          <a:endParaRPr lang="en-US"/>
        </a:p>
      </dgm:t>
    </dgm:pt>
    <dgm:pt modelId="{312CF1E0-1E6F-4A59-92FB-FFE406EBD8CE}" type="sibTrans" cxnId="{B99DFC53-0339-4D17-8070-EC557890237C}">
      <dgm:prSet/>
      <dgm:spPr/>
      <dgm:t>
        <a:bodyPr/>
        <a:lstStyle/>
        <a:p>
          <a:endParaRPr lang="en-US"/>
        </a:p>
      </dgm:t>
    </dgm:pt>
    <dgm:pt modelId="{6DE96994-14B3-4CCF-B770-280272C38741}">
      <dgm:prSet phldrT="[Text]"/>
      <dgm:spPr>
        <a:solidFill>
          <a:schemeClr val="tx2">
            <a:lumMod val="75000"/>
          </a:schemeClr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3</a:t>
          </a:r>
        </a:p>
      </dgm:t>
    </dgm:pt>
    <dgm:pt modelId="{92898FE0-7F04-4A7F-B3A8-D25AE069D081}" type="parTrans" cxnId="{132AECF6-A071-4A4E-9099-AC1BB590DEA5}">
      <dgm:prSet/>
      <dgm:spPr/>
      <dgm:t>
        <a:bodyPr/>
        <a:lstStyle/>
        <a:p>
          <a:endParaRPr lang="en-US"/>
        </a:p>
      </dgm:t>
    </dgm:pt>
    <dgm:pt modelId="{395394BD-E42F-446D-A4DA-C411BA832C9E}" type="sibTrans" cxnId="{132AECF6-A071-4A4E-9099-AC1BB590DEA5}">
      <dgm:prSet/>
      <dgm:spPr/>
      <dgm:t>
        <a:bodyPr/>
        <a:lstStyle/>
        <a:p>
          <a:endParaRPr lang="en-US"/>
        </a:p>
      </dgm:t>
    </dgm:pt>
    <dgm:pt modelId="{F67AB82D-91CC-4635-B3CC-A03B2E946C8A}" type="pres">
      <dgm:prSet presAssocID="{FCEFEE65-E548-4BEC-A365-D959642FF51C}" presName="Name0" presStyleCnt="0">
        <dgm:presLayoutVars>
          <dgm:dir/>
          <dgm:animLvl val="lvl"/>
          <dgm:resizeHandles val="exact"/>
        </dgm:presLayoutVars>
      </dgm:prSet>
      <dgm:spPr/>
    </dgm:pt>
    <dgm:pt modelId="{AFD02F32-A478-46F6-8D91-5983E70B5C29}" type="pres">
      <dgm:prSet presAssocID="{F5E37BDC-B88B-4349-8CB9-B8F5338CEE45}" presName="Name8" presStyleCnt="0"/>
      <dgm:spPr/>
    </dgm:pt>
    <dgm:pt modelId="{CDB55851-5CD3-47BE-A716-EEA0D2A56231}" type="pres">
      <dgm:prSet presAssocID="{F5E37BDC-B88B-4349-8CB9-B8F5338CEE45}" presName="level" presStyleLbl="node1" presStyleIdx="0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3A566C3-9FF7-44D7-8CEC-ED92BBC81C4C}" type="pres">
      <dgm:prSet presAssocID="{F5E37BDC-B88B-4349-8CB9-B8F5338CEE45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F808747-EDE1-49B5-8F65-D49E9E2310B7}" type="pres">
      <dgm:prSet presAssocID="{7462A294-66BE-484B-8D7F-ABAEA66C608D}" presName="Name8" presStyleCnt="0"/>
      <dgm:spPr/>
    </dgm:pt>
    <dgm:pt modelId="{568149F8-56B2-4E97-B4BB-2343EFE90D24}" type="pres">
      <dgm:prSet presAssocID="{7462A294-66BE-484B-8D7F-ABAEA66C608D}" presName="level" presStyleLbl="node1" presStyleIdx="1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22C7623-7F98-4621-AE34-724EFE30EB45}" type="pres">
      <dgm:prSet presAssocID="{7462A294-66BE-484B-8D7F-ABAEA66C608D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070C1C7-5D73-46D1-9B99-882353553A88}" type="pres">
      <dgm:prSet presAssocID="{ACE6FEDB-5A11-4E8A-B68D-01E0574DBA97}" presName="Name8" presStyleCnt="0"/>
      <dgm:spPr/>
    </dgm:pt>
    <dgm:pt modelId="{6702542E-368A-402A-ADAF-E5557C68A390}" type="pres">
      <dgm:prSet presAssocID="{ACE6FEDB-5A11-4E8A-B68D-01E0574DBA97}" presName="level" presStyleLbl="node1" presStyleIdx="2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B61273B-C8CA-441B-BF30-B05385925AF7}" type="pres">
      <dgm:prSet presAssocID="{ACE6FEDB-5A11-4E8A-B68D-01E0574DBA97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3C778C1-B8C9-4017-9666-32B389868214}" type="pres">
      <dgm:prSet presAssocID="{681AA5E8-6D78-48F2-BB6E-2F1397BCD959}" presName="Name8" presStyleCnt="0"/>
      <dgm:spPr/>
    </dgm:pt>
    <dgm:pt modelId="{1D8A4B4F-F538-4AAE-B5DE-6F3DD12E80B9}" type="pres">
      <dgm:prSet presAssocID="{681AA5E8-6D78-48F2-BB6E-2F1397BCD959}" presName="level" presStyleLbl="node1" presStyleIdx="3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A70B323-E208-41C5-85AF-592084577279}" type="pres">
      <dgm:prSet presAssocID="{681AA5E8-6D78-48F2-BB6E-2F1397BCD959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1558471-196A-4EF4-A3A4-06F6F682A87D}" type="pres">
      <dgm:prSet presAssocID="{3E4E65A2-BD94-47FB-B362-87A52DB4006B}" presName="Name8" presStyleCnt="0"/>
      <dgm:spPr/>
    </dgm:pt>
    <dgm:pt modelId="{868636E4-7650-48B5-9025-A7E5E513F272}" type="pres">
      <dgm:prSet presAssocID="{3E4E65A2-BD94-47FB-B362-87A52DB4006B}" presName="level" presStyleLbl="node1" presStyleIdx="4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2298904-715F-435E-980A-BAEEDC5687AA}" type="pres">
      <dgm:prSet presAssocID="{3E4E65A2-BD94-47FB-B362-87A52DB4006B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698EB67-59AC-40E5-8C17-F13E08B39777}" type="pres">
      <dgm:prSet presAssocID="{6DE96994-14B3-4CCF-B770-280272C38741}" presName="Name8" presStyleCnt="0"/>
      <dgm:spPr/>
    </dgm:pt>
    <dgm:pt modelId="{67D87779-951B-44B8-AA1C-C9613E73B858}" type="pres">
      <dgm:prSet presAssocID="{6DE96994-14B3-4CCF-B770-280272C38741}" presName="level" presStyleLbl="node1" presStyleIdx="5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BBB43F7-3373-418C-9763-5289D539F3B0}" type="pres">
      <dgm:prSet presAssocID="{6DE96994-14B3-4CCF-B770-280272C38741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32D3654-31FE-41D1-80DE-40D3321FFE58}" type="pres">
      <dgm:prSet presAssocID="{30D9DDC0-7291-4BEF-A597-255A30BBF8B4}" presName="Name8" presStyleCnt="0"/>
      <dgm:spPr/>
    </dgm:pt>
    <dgm:pt modelId="{EB595BB3-5761-4428-95D9-37F651BBF7D1}" type="pres">
      <dgm:prSet presAssocID="{30D9DDC0-7291-4BEF-A597-255A30BBF8B4}" presName="level" presStyleLbl="node1" presStyleIdx="6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24F7D33-45F6-435E-9DEF-CDEF3632687E}" type="pres">
      <dgm:prSet presAssocID="{30D9DDC0-7291-4BEF-A597-255A30BBF8B4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72638F2B-E8EC-41E9-95BB-202261288D1A}" type="presOf" srcId="{F5E37BDC-B88B-4349-8CB9-B8F5338CEE45}" destId="{D3A566C3-9FF7-44D7-8CEC-ED92BBC81C4C}" srcOrd="1" destOrd="0" presId="urn:microsoft.com/office/officeart/2005/8/layout/pyramid1"/>
    <dgm:cxn modelId="{EC9C0915-020D-42BD-8BC2-0F377D3E55E6}" type="presOf" srcId="{ACE6FEDB-5A11-4E8A-B68D-01E0574DBA97}" destId="{BB61273B-C8CA-441B-BF30-B05385925AF7}" srcOrd="1" destOrd="0" presId="urn:microsoft.com/office/officeart/2005/8/layout/pyramid1"/>
    <dgm:cxn modelId="{A343B26B-E754-4668-80C6-758AE6095D07}" type="presOf" srcId="{3E4E65A2-BD94-47FB-B362-87A52DB4006B}" destId="{B2298904-715F-435E-980A-BAEEDC5687AA}" srcOrd="1" destOrd="0" presId="urn:microsoft.com/office/officeart/2005/8/layout/pyramid1"/>
    <dgm:cxn modelId="{A8E714D2-2A58-4236-ADFF-CAC0A7908AFF}" srcId="{FCEFEE65-E548-4BEC-A365-D959642FF51C}" destId="{7462A294-66BE-484B-8D7F-ABAEA66C608D}" srcOrd="1" destOrd="0" parTransId="{BE2BF5BF-C687-4757-AC35-92F285521774}" sibTransId="{4C2332F9-E8F2-49A6-8B71-CCE2B87ABF39}"/>
    <dgm:cxn modelId="{651C63A7-C92E-4AC8-B1D8-405E2823FD6B}" type="presOf" srcId="{FCEFEE65-E548-4BEC-A365-D959642FF51C}" destId="{F67AB82D-91CC-4635-B3CC-A03B2E946C8A}" srcOrd="0" destOrd="0" presId="urn:microsoft.com/office/officeart/2005/8/layout/pyramid1"/>
    <dgm:cxn modelId="{0328C88E-E49F-429D-92DD-BFDC9C3FE5F1}" srcId="{FCEFEE65-E548-4BEC-A365-D959642FF51C}" destId="{F5E37BDC-B88B-4349-8CB9-B8F5338CEE45}" srcOrd="0" destOrd="0" parTransId="{35CAC1FD-1836-4238-953B-C5E6DEB41443}" sibTransId="{A90F213A-27AB-44F3-B9C9-95E4C1E14B85}"/>
    <dgm:cxn modelId="{132AECF6-A071-4A4E-9099-AC1BB590DEA5}" srcId="{FCEFEE65-E548-4BEC-A365-D959642FF51C}" destId="{6DE96994-14B3-4CCF-B770-280272C38741}" srcOrd="5" destOrd="0" parTransId="{92898FE0-7F04-4A7F-B3A8-D25AE069D081}" sibTransId="{395394BD-E42F-446D-A4DA-C411BA832C9E}"/>
    <dgm:cxn modelId="{72ACDD98-00AE-493F-BDDC-A44DBD719A56}" type="presOf" srcId="{ACE6FEDB-5A11-4E8A-B68D-01E0574DBA97}" destId="{6702542E-368A-402A-ADAF-E5557C68A390}" srcOrd="0" destOrd="0" presId="urn:microsoft.com/office/officeart/2005/8/layout/pyramid1"/>
    <dgm:cxn modelId="{E12EE8FD-281A-46E6-BAEE-957032305D6F}" srcId="{FCEFEE65-E548-4BEC-A365-D959642FF51C}" destId="{ACE6FEDB-5A11-4E8A-B68D-01E0574DBA97}" srcOrd="2" destOrd="0" parTransId="{99DC9F83-B0B6-4BC9-A91F-61B9F616370E}" sibTransId="{6120E06A-E9D7-4EE0-AFDD-1171DA059F44}"/>
    <dgm:cxn modelId="{B0157185-B276-4F79-87FA-C982B000D5C0}" type="presOf" srcId="{3E4E65A2-BD94-47FB-B362-87A52DB4006B}" destId="{868636E4-7650-48B5-9025-A7E5E513F272}" srcOrd="0" destOrd="0" presId="urn:microsoft.com/office/officeart/2005/8/layout/pyramid1"/>
    <dgm:cxn modelId="{A1D068CE-0D35-496D-A2B2-0AD28E48C7B3}" type="presOf" srcId="{7462A294-66BE-484B-8D7F-ABAEA66C608D}" destId="{568149F8-56B2-4E97-B4BB-2343EFE90D24}" srcOrd="0" destOrd="0" presId="urn:microsoft.com/office/officeart/2005/8/layout/pyramid1"/>
    <dgm:cxn modelId="{0144E8BE-04B9-4CBE-9810-70A06491ABCE}" type="presOf" srcId="{7462A294-66BE-484B-8D7F-ABAEA66C608D}" destId="{B22C7623-7F98-4621-AE34-724EFE30EB45}" srcOrd="1" destOrd="0" presId="urn:microsoft.com/office/officeart/2005/8/layout/pyramid1"/>
    <dgm:cxn modelId="{2874EFFF-61EA-45E0-8CE4-420C80C6B220}" srcId="{FCEFEE65-E548-4BEC-A365-D959642FF51C}" destId="{3E4E65A2-BD94-47FB-B362-87A52DB4006B}" srcOrd="4" destOrd="0" parTransId="{ED61B0DE-11E4-4EB3-ABA4-ADA58A698CD8}" sibTransId="{B60897A7-ADD1-4276-B610-C2CE445F22EE}"/>
    <dgm:cxn modelId="{CB015F06-74DC-4D1A-A04D-BF2E74DF52CC}" type="presOf" srcId="{681AA5E8-6D78-48F2-BB6E-2F1397BCD959}" destId="{6A70B323-E208-41C5-85AF-592084577279}" srcOrd="1" destOrd="0" presId="urn:microsoft.com/office/officeart/2005/8/layout/pyramid1"/>
    <dgm:cxn modelId="{A67AD47C-E5DC-4785-9A2C-3CFAB1C823EF}" type="presOf" srcId="{30D9DDC0-7291-4BEF-A597-255A30BBF8B4}" destId="{EB595BB3-5761-4428-95D9-37F651BBF7D1}" srcOrd="0" destOrd="0" presId="urn:microsoft.com/office/officeart/2005/8/layout/pyramid1"/>
    <dgm:cxn modelId="{B2A77F2B-4028-4458-8A99-1C281322BE80}" type="presOf" srcId="{6DE96994-14B3-4CCF-B770-280272C38741}" destId="{67D87779-951B-44B8-AA1C-C9613E73B858}" srcOrd="0" destOrd="0" presId="urn:microsoft.com/office/officeart/2005/8/layout/pyramid1"/>
    <dgm:cxn modelId="{C7F4EEA4-AD3A-474D-A01F-C8362A01CE1D}" srcId="{FCEFEE65-E548-4BEC-A365-D959642FF51C}" destId="{681AA5E8-6D78-48F2-BB6E-2F1397BCD959}" srcOrd="3" destOrd="0" parTransId="{627B7974-4F42-41B9-B3D6-EF2572AE2825}" sibTransId="{F0F8668E-A477-44CC-BBEF-A20A31602EA6}"/>
    <dgm:cxn modelId="{0CC7D675-D045-4CDA-9072-0BCB234E528D}" type="presOf" srcId="{F5E37BDC-B88B-4349-8CB9-B8F5338CEE45}" destId="{CDB55851-5CD3-47BE-A716-EEA0D2A56231}" srcOrd="0" destOrd="0" presId="urn:microsoft.com/office/officeart/2005/8/layout/pyramid1"/>
    <dgm:cxn modelId="{F1E04D7C-CF6F-4477-9CDD-E9A04D4E4B48}" type="presOf" srcId="{681AA5E8-6D78-48F2-BB6E-2F1397BCD959}" destId="{1D8A4B4F-F538-4AAE-B5DE-6F3DD12E80B9}" srcOrd="0" destOrd="0" presId="urn:microsoft.com/office/officeart/2005/8/layout/pyramid1"/>
    <dgm:cxn modelId="{79FDA115-1961-48E8-9CB0-CF42C133D4AB}" type="presOf" srcId="{6DE96994-14B3-4CCF-B770-280272C38741}" destId="{7BBB43F7-3373-418C-9763-5289D539F3B0}" srcOrd="1" destOrd="0" presId="urn:microsoft.com/office/officeart/2005/8/layout/pyramid1"/>
    <dgm:cxn modelId="{6EF3880A-A4D2-451A-A55D-3364D3B00C56}" type="presOf" srcId="{30D9DDC0-7291-4BEF-A597-255A30BBF8B4}" destId="{924F7D33-45F6-435E-9DEF-CDEF3632687E}" srcOrd="1" destOrd="0" presId="urn:microsoft.com/office/officeart/2005/8/layout/pyramid1"/>
    <dgm:cxn modelId="{B99DFC53-0339-4D17-8070-EC557890237C}" srcId="{FCEFEE65-E548-4BEC-A365-D959642FF51C}" destId="{30D9DDC0-7291-4BEF-A597-255A30BBF8B4}" srcOrd="6" destOrd="0" parTransId="{D0DE4D45-8768-4FC1-B5D4-71E6FA8FCBCB}" sibTransId="{312CF1E0-1E6F-4A59-92FB-FFE406EBD8CE}"/>
    <dgm:cxn modelId="{6DF68DC6-D6C7-49CF-89F3-0C9D52A57EAC}" type="presParOf" srcId="{F67AB82D-91CC-4635-B3CC-A03B2E946C8A}" destId="{AFD02F32-A478-46F6-8D91-5983E70B5C29}" srcOrd="0" destOrd="0" presId="urn:microsoft.com/office/officeart/2005/8/layout/pyramid1"/>
    <dgm:cxn modelId="{29B4717C-AE23-42D9-B2D8-14E213D1862B}" type="presParOf" srcId="{AFD02F32-A478-46F6-8D91-5983E70B5C29}" destId="{CDB55851-5CD3-47BE-A716-EEA0D2A56231}" srcOrd="0" destOrd="0" presId="urn:microsoft.com/office/officeart/2005/8/layout/pyramid1"/>
    <dgm:cxn modelId="{9B70AF10-EA74-4865-AD8E-4C2E587CD009}" type="presParOf" srcId="{AFD02F32-A478-46F6-8D91-5983E70B5C29}" destId="{D3A566C3-9FF7-44D7-8CEC-ED92BBC81C4C}" srcOrd="1" destOrd="0" presId="urn:microsoft.com/office/officeart/2005/8/layout/pyramid1"/>
    <dgm:cxn modelId="{70557B7A-74EB-4041-90E9-C6710923DC7C}" type="presParOf" srcId="{F67AB82D-91CC-4635-B3CC-A03B2E946C8A}" destId="{8F808747-EDE1-49B5-8F65-D49E9E2310B7}" srcOrd="1" destOrd="0" presId="urn:microsoft.com/office/officeart/2005/8/layout/pyramid1"/>
    <dgm:cxn modelId="{48339093-6D49-4D7F-A439-8E3EB4A7B201}" type="presParOf" srcId="{8F808747-EDE1-49B5-8F65-D49E9E2310B7}" destId="{568149F8-56B2-4E97-B4BB-2343EFE90D24}" srcOrd="0" destOrd="0" presId="urn:microsoft.com/office/officeart/2005/8/layout/pyramid1"/>
    <dgm:cxn modelId="{D95B2C51-7F4C-482B-8860-BECE8000BE7C}" type="presParOf" srcId="{8F808747-EDE1-49B5-8F65-D49E9E2310B7}" destId="{B22C7623-7F98-4621-AE34-724EFE30EB45}" srcOrd="1" destOrd="0" presId="urn:microsoft.com/office/officeart/2005/8/layout/pyramid1"/>
    <dgm:cxn modelId="{A2483C25-CD68-470E-BB57-A796F6815EBB}" type="presParOf" srcId="{F67AB82D-91CC-4635-B3CC-A03B2E946C8A}" destId="{D070C1C7-5D73-46D1-9B99-882353553A88}" srcOrd="2" destOrd="0" presId="urn:microsoft.com/office/officeart/2005/8/layout/pyramid1"/>
    <dgm:cxn modelId="{C9999F06-9200-4A6B-A35C-2D920D1AD1AD}" type="presParOf" srcId="{D070C1C7-5D73-46D1-9B99-882353553A88}" destId="{6702542E-368A-402A-ADAF-E5557C68A390}" srcOrd="0" destOrd="0" presId="urn:microsoft.com/office/officeart/2005/8/layout/pyramid1"/>
    <dgm:cxn modelId="{FF272308-2199-43AA-8B07-C24002760188}" type="presParOf" srcId="{D070C1C7-5D73-46D1-9B99-882353553A88}" destId="{BB61273B-C8CA-441B-BF30-B05385925AF7}" srcOrd="1" destOrd="0" presId="urn:microsoft.com/office/officeart/2005/8/layout/pyramid1"/>
    <dgm:cxn modelId="{A712EAC4-A923-40B7-A767-29BF308B9E60}" type="presParOf" srcId="{F67AB82D-91CC-4635-B3CC-A03B2E946C8A}" destId="{63C778C1-B8C9-4017-9666-32B389868214}" srcOrd="3" destOrd="0" presId="urn:microsoft.com/office/officeart/2005/8/layout/pyramid1"/>
    <dgm:cxn modelId="{B3581C35-1E15-4EC2-A43C-A8BB57D65CC8}" type="presParOf" srcId="{63C778C1-B8C9-4017-9666-32B389868214}" destId="{1D8A4B4F-F538-4AAE-B5DE-6F3DD12E80B9}" srcOrd="0" destOrd="0" presId="urn:microsoft.com/office/officeart/2005/8/layout/pyramid1"/>
    <dgm:cxn modelId="{E1875F74-7FEA-45FB-B92C-889B1283CCA9}" type="presParOf" srcId="{63C778C1-B8C9-4017-9666-32B389868214}" destId="{6A70B323-E208-41C5-85AF-592084577279}" srcOrd="1" destOrd="0" presId="urn:microsoft.com/office/officeart/2005/8/layout/pyramid1"/>
    <dgm:cxn modelId="{3A67CA56-D641-40CB-BC15-6308FACC031B}" type="presParOf" srcId="{F67AB82D-91CC-4635-B3CC-A03B2E946C8A}" destId="{11558471-196A-4EF4-A3A4-06F6F682A87D}" srcOrd="4" destOrd="0" presId="urn:microsoft.com/office/officeart/2005/8/layout/pyramid1"/>
    <dgm:cxn modelId="{301A62A1-26E7-455E-AF9D-4CB6AF8E32F4}" type="presParOf" srcId="{11558471-196A-4EF4-A3A4-06F6F682A87D}" destId="{868636E4-7650-48B5-9025-A7E5E513F272}" srcOrd="0" destOrd="0" presId="urn:microsoft.com/office/officeart/2005/8/layout/pyramid1"/>
    <dgm:cxn modelId="{1B41E3DB-2039-4F1F-A338-BFB89C0FEFF1}" type="presParOf" srcId="{11558471-196A-4EF4-A3A4-06F6F682A87D}" destId="{B2298904-715F-435E-980A-BAEEDC5687AA}" srcOrd="1" destOrd="0" presId="urn:microsoft.com/office/officeart/2005/8/layout/pyramid1"/>
    <dgm:cxn modelId="{6ECA1B19-DE72-4DBC-BF00-35C54377C254}" type="presParOf" srcId="{F67AB82D-91CC-4635-B3CC-A03B2E946C8A}" destId="{8698EB67-59AC-40E5-8C17-F13E08B39777}" srcOrd="5" destOrd="0" presId="urn:microsoft.com/office/officeart/2005/8/layout/pyramid1"/>
    <dgm:cxn modelId="{FC31CFFE-0FD4-4DCB-9472-EB03C2A684B4}" type="presParOf" srcId="{8698EB67-59AC-40E5-8C17-F13E08B39777}" destId="{67D87779-951B-44B8-AA1C-C9613E73B858}" srcOrd="0" destOrd="0" presId="urn:microsoft.com/office/officeart/2005/8/layout/pyramid1"/>
    <dgm:cxn modelId="{B1AA95B1-D439-4A2D-A0CA-7485897FBF2C}" type="presParOf" srcId="{8698EB67-59AC-40E5-8C17-F13E08B39777}" destId="{7BBB43F7-3373-418C-9763-5289D539F3B0}" srcOrd="1" destOrd="0" presId="urn:microsoft.com/office/officeart/2005/8/layout/pyramid1"/>
    <dgm:cxn modelId="{C9CC538A-5E82-4643-B2D1-CD608BAB7822}" type="presParOf" srcId="{F67AB82D-91CC-4635-B3CC-A03B2E946C8A}" destId="{F32D3654-31FE-41D1-80DE-40D3321FFE58}" srcOrd="6" destOrd="0" presId="urn:microsoft.com/office/officeart/2005/8/layout/pyramid1"/>
    <dgm:cxn modelId="{F512A51F-7827-4D67-BD21-FE6044C7B9B1}" type="presParOf" srcId="{F32D3654-31FE-41D1-80DE-40D3321FFE58}" destId="{EB595BB3-5761-4428-95D9-37F651BBF7D1}" srcOrd="0" destOrd="0" presId="urn:microsoft.com/office/officeart/2005/8/layout/pyramid1"/>
    <dgm:cxn modelId="{1462207D-A336-4CDC-9BA6-59F55D148C19}" type="presParOf" srcId="{F32D3654-31FE-41D1-80DE-40D3321FFE58}" destId="{924F7D33-45F6-435E-9DEF-CDEF3632687E}" srcOrd="1" destOrd="0" presId="urn:microsoft.com/office/officeart/2005/8/layout/pyramid1"/>
  </dgm:cxnLst>
  <dgm:bg>
    <a:effectLst>
      <a:outerShdw blurRad="50800" dist="38100" dir="13500000" algn="br" rotWithShape="0">
        <a:prstClr val="black">
          <a:alpha val="40000"/>
        </a:prstClr>
      </a:outerShdw>
    </a:effectLst>
  </dgm:bg>
  <dgm:whole/>
  <dgm:extLst>
    <a:ext uri="http://schemas.microsoft.com/office/drawing/2008/diagram">
      <dsp:dataModelExt xmlns:dsp="http://schemas.microsoft.com/office/drawing/2008/diagram" xmlns="" relId="rId12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CEFEE65-E548-4BEC-A365-D959642FF51C}" type="doc">
      <dgm:prSet loTypeId="urn:microsoft.com/office/officeart/2005/8/layout/pyramid1" loCatId="pyramid" qsTypeId="urn:microsoft.com/office/officeart/2005/8/quickstyle/3d5" qsCatId="3D" csTypeId="urn:microsoft.com/office/officeart/2005/8/colors/colorful4" csCatId="colorful" phldr="1"/>
      <dgm:spPr>
        <a:scene3d>
          <a:camera prst="isometricOffAxis2Left" zoom="95000">
            <a:rot lat="1080000" lon="1560000" rev="0"/>
          </a:camera>
          <a:lightRig rig="flat" dir="t">
            <a:rot lat="0" lon="0" rev="3600000"/>
          </a:lightRig>
        </a:scene3d>
      </dgm:spPr>
    </dgm:pt>
    <dgm:pt modelId="{F5E37BDC-B88B-4349-8CB9-B8F5338CEE45}">
      <dgm:prSet phldrT="[Text]"/>
      <dgm:spPr>
        <a:solidFill>
          <a:srgbClr val="FF0000"/>
        </a:solidFill>
        <a:sp3d extrusionH="2540000" prstMaterial="metal">
          <a:bevelB w="152400" h="120650" prst="softRound"/>
          <a:contourClr>
            <a:schemeClr val="lt1"/>
          </a:contourClr>
        </a:sp3d>
      </dgm:spPr>
      <dgm:t>
        <a:bodyPr/>
        <a:lstStyle/>
        <a:p>
          <a:r>
            <a:rPr lang="en-US" b="1" dirty="0" smtClean="0">
              <a:solidFill>
                <a:srgbClr val="FFFF00"/>
              </a:solidFill>
            </a:rPr>
            <a:t>0</a:t>
          </a:r>
          <a:endParaRPr lang="en-US" b="1" dirty="0">
            <a:solidFill>
              <a:srgbClr val="FFFF00"/>
            </a:solidFill>
          </a:endParaRPr>
        </a:p>
      </dgm:t>
    </dgm:pt>
    <dgm:pt modelId="{35CAC1FD-1836-4238-953B-C5E6DEB41443}" type="parTrans" cxnId="{0328C88E-E49F-429D-92DD-BFDC9C3FE5F1}">
      <dgm:prSet/>
      <dgm:spPr/>
      <dgm:t>
        <a:bodyPr/>
        <a:lstStyle/>
        <a:p>
          <a:endParaRPr lang="en-US"/>
        </a:p>
      </dgm:t>
    </dgm:pt>
    <dgm:pt modelId="{A90F213A-27AB-44F3-B9C9-95E4C1E14B85}" type="sibTrans" cxnId="{0328C88E-E49F-429D-92DD-BFDC9C3FE5F1}">
      <dgm:prSet/>
      <dgm:spPr/>
      <dgm:t>
        <a:bodyPr/>
        <a:lstStyle/>
        <a:p>
          <a:endParaRPr lang="en-US"/>
        </a:p>
      </dgm:t>
    </dgm:pt>
    <dgm:pt modelId="{7462A294-66BE-484B-8D7F-ABAEA66C608D}">
      <dgm:prSet phldrT="[Text]"/>
      <dgm:spPr>
        <a:solidFill>
          <a:schemeClr val="tx2">
            <a:lumMod val="60000"/>
            <a:lumOff val="40000"/>
          </a:schemeClr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1</a:t>
          </a:r>
        </a:p>
      </dgm:t>
    </dgm:pt>
    <dgm:pt modelId="{BE2BF5BF-C687-4757-AC35-92F285521774}" type="parTrans" cxnId="{A8E714D2-2A58-4236-ADFF-CAC0A7908AFF}">
      <dgm:prSet/>
      <dgm:spPr/>
      <dgm:t>
        <a:bodyPr/>
        <a:lstStyle/>
        <a:p>
          <a:endParaRPr lang="en-US"/>
        </a:p>
      </dgm:t>
    </dgm:pt>
    <dgm:pt modelId="{4C2332F9-E8F2-49A6-8B71-CCE2B87ABF39}" type="sibTrans" cxnId="{A8E714D2-2A58-4236-ADFF-CAC0A7908AFF}">
      <dgm:prSet/>
      <dgm:spPr/>
      <dgm:t>
        <a:bodyPr/>
        <a:lstStyle/>
        <a:p>
          <a:endParaRPr lang="en-US"/>
        </a:p>
      </dgm:t>
    </dgm:pt>
    <dgm:pt modelId="{ACE6FEDB-5A11-4E8A-B68D-01E0574DBA97}">
      <dgm:prSet phldrT="[Text]"/>
      <dgm:spPr>
        <a:solidFill>
          <a:srgbClr val="6699FF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 smtClean="0">
              <a:solidFill>
                <a:srgbClr val="FFFF00"/>
              </a:solidFill>
            </a:rPr>
            <a:t>0</a:t>
          </a:r>
          <a:endParaRPr lang="en-US" b="1" dirty="0">
            <a:solidFill>
              <a:srgbClr val="FFFF00"/>
            </a:solidFill>
          </a:endParaRPr>
        </a:p>
      </dgm:t>
    </dgm:pt>
    <dgm:pt modelId="{99DC9F83-B0B6-4BC9-A91F-61B9F616370E}" type="parTrans" cxnId="{E12EE8FD-281A-46E6-BAEE-957032305D6F}">
      <dgm:prSet/>
      <dgm:spPr/>
      <dgm:t>
        <a:bodyPr/>
        <a:lstStyle/>
        <a:p>
          <a:endParaRPr lang="en-US"/>
        </a:p>
      </dgm:t>
    </dgm:pt>
    <dgm:pt modelId="{6120E06A-E9D7-4EE0-AFDD-1171DA059F44}" type="sibTrans" cxnId="{E12EE8FD-281A-46E6-BAEE-957032305D6F}">
      <dgm:prSet/>
      <dgm:spPr/>
      <dgm:t>
        <a:bodyPr/>
        <a:lstStyle/>
        <a:p>
          <a:endParaRPr lang="en-US"/>
        </a:p>
      </dgm:t>
    </dgm:pt>
    <dgm:pt modelId="{681AA5E8-6D78-48F2-BB6E-2F1397BCD959}">
      <dgm:prSet phldrT="[Text]"/>
      <dgm:spPr>
        <a:solidFill>
          <a:srgbClr val="00B0F0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5</a:t>
          </a:r>
        </a:p>
      </dgm:t>
    </dgm:pt>
    <dgm:pt modelId="{627B7974-4F42-41B9-B3D6-EF2572AE2825}" type="parTrans" cxnId="{C7F4EEA4-AD3A-474D-A01F-C8362A01CE1D}">
      <dgm:prSet/>
      <dgm:spPr/>
      <dgm:t>
        <a:bodyPr/>
        <a:lstStyle/>
        <a:p>
          <a:endParaRPr lang="en-US"/>
        </a:p>
      </dgm:t>
    </dgm:pt>
    <dgm:pt modelId="{F0F8668E-A477-44CC-BBEF-A20A31602EA6}" type="sibTrans" cxnId="{C7F4EEA4-AD3A-474D-A01F-C8362A01CE1D}">
      <dgm:prSet/>
      <dgm:spPr/>
      <dgm:t>
        <a:bodyPr/>
        <a:lstStyle/>
        <a:p>
          <a:endParaRPr lang="en-US"/>
        </a:p>
      </dgm:t>
    </dgm:pt>
    <dgm:pt modelId="{3E4E65A2-BD94-47FB-B362-87A52DB4006B}">
      <dgm:prSet phldrT="[Text]"/>
      <dgm:spPr>
        <a:solidFill>
          <a:srgbClr val="006699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0</a:t>
          </a:r>
        </a:p>
      </dgm:t>
    </dgm:pt>
    <dgm:pt modelId="{ED61B0DE-11E4-4EB3-ABA4-ADA58A698CD8}" type="parTrans" cxnId="{2874EFFF-61EA-45E0-8CE4-420C80C6B220}">
      <dgm:prSet/>
      <dgm:spPr/>
      <dgm:t>
        <a:bodyPr/>
        <a:lstStyle/>
        <a:p>
          <a:endParaRPr lang="en-US"/>
        </a:p>
      </dgm:t>
    </dgm:pt>
    <dgm:pt modelId="{B60897A7-ADD1-4276-B610-C2CE445F22EE}" type="sibTrans" cxnId="{2874EFFF-61EA-45E0-8CE4-420C80C6B220}">
      <dgm:prSet/>
      <dgm:spPr/>
      <dgm:t>
        <a:bodyPr/>
        <a:lstStyle/>
        <a:p>
          <a:endParaRPr lang="en-US"/>
        </a:p>
      </dgm:t>
    </dgm:pt>
    <dgm:pt modelId="{30D9DDC0-7291-4BEF-A597-255A30BBF8B4}">
      <dgm:prSet phldrT="[Text]"/>
      <dgm:spPr>
        <a:solidFill>
          <a:srgbClr val="00B050"/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251</a:t>
          </a:r>
        </a:p>
      </dgm:t>
    </dgm:pt>
    <dgm:pt modelId="{D0DE4D45-8768-4FC1-B5D4-71E6FA8FCBCB}" type="parTrans" cxnId="{B99DFC53-0339-4D17-8070-EC557890237C}">
      <dgm:prSet/>
      <dgm:spPr/>
      <dgm:t>
        <a:bodyPr/>
        <a:lstStyle/>
        <a:p>
          <a:endParaRPr lang="en-US"/>
        </a:p>
      </dgm:t>
    </dgm:pt>
    <dgm:pt modelId="{312CF1E0-1E6F-4A59-92FB-FFE406EBD8CE}" type="sibTrans" cxnId="{B99DFC53-0339-4D17-8070-EC557890237C}">
      <dgm:prSet/>
      <dgm:spPr/>
      <dgm:t>
        <a:bodyPr/>
        <a:lstStyle/>
        <a:p>
          <a:endParaRPr lang="en-US"/>
        </a:p>
      </dgm:t>
    </dgm:pt>
    <dgm:pt modelId="{6DE96994-14B3-4CCF-B770-280272C38741}">
      <dgm:prSet phldrT="[Text]"/>
      <dgm:spPr>
        <a:solidFill>
          <a:schemeClr val="tx2">
            <a:lumMod val="75000"/>
          </a:schemeClr>
        </a:solidFill>
        <a:sp3d extrusionH="2540000" prstMaterial="metal">
          <a:contourClr>
            <a:schemeClr val="lt1"/>
          </a:contourClr>
        </a:sp3d>
      </dgm:spPr>
      <dgm:t>
        <a:bodyPr/>
        <a:lstStyle/>
        <a:p>
          <a:r>
            <a:rPr lang="en-US" b="1" dirty="0">
              <a:solidFill>
                <a:srgbClr val="FFFF00"/>
              </a:solidFill>
            </a:rPr>
            <a:t>3</a:t>
          </a:r>
        </a:p>
      </dgm:t>
    </dgm:pt>
    <dgm:pt modelId="{92898FE0-7F04-4A7F-B3A8-D25AE069D081}" type="parTrans" cxnId="{132AECF6-A071-4A4E-9099-AC1BB590DEA5}">
      <dgm:prSet/>
      <dgm:spPr/>
      <dgm:t>
        <a:bodyPr/>
        <a:lstStyle/>
        <a:p>
          <a:endParaRPr lang="en-US"/>
        </a:p>
      </dgm:t>
    </dgm:pt>
    <dgm:pt modelId="{395394BD-E42F-446D-A4DA-C411BA832C9E}" type="sibTrans" cxnId="{132AECF6-A071-4A4E-9099-AC1BB590DEA5}">
      <dgm:prSet/>
      <dgm:spPr/>
      <dgm:t>
        <a:bodyPr/>
        <a:lstStyle/>
        <a:p>
          <a:endParaRPr lang="en-US"/>
        </a:p>
      </dgm:t>
    </dgm:pt>
    <dgm:pt modelId="{F67AB82D-91CC-4635-B3CC-A03B2E946C8A}" type="pres">
      <dgm:prSet presAssocID="{FCEFEE65-E548-4BEC-A365-D959642FF51C}" presName="Name0" presStyleCnt="0">
        <dgm:presLayoutVars>
          <dgm:dir/>
          <dgm:animLvl val="lvl"/>
          <dgm:resizeHandles val="exact"/>
        </dgm:presLayoutVars>
      </dgm:prSet>
      <dgm:spPr/>
    </dgm:pt>
    <dgm:pt modelId="{AFD02F32-A478-46F6-8D91-5983E70B5C29}" type="pres">
      <dgm:prSet presAssocID="{F5E37BDC-B88B-4349-8CB9-B8F5338CEE45}" presName="Name8" presStyleCnt="0"/>
      <dgm:spPr/>
    </dgm:pt>
    <dgm:pt modelId="{CDB55851-5CD3-47BE-A716-EEA0D2A56231}" type="pres">
      <dgm:prSet presAssocID="{F5E37BDC-B88B-4349-8CB9-B8F5338CEE45}" presName="level" presStyleLbl="node1" presStyleIdx="0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3A566C3-9FF7-44D7-8CEC-ED92BBC81C4C}" type="pres">
      <dgm:prSet presAssocID="{F5E37BDC-B88B-4349-8CB9-B8F5338CEE45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F808747-EDE1-49B5-8F65-D49E9E2310B7}" type="pres">
      <dgm:prSet presAssocID="{7462A294-66BE-484B-8D7F-ABAEA66C608D}" presName="Name8" presStyleCnt="0"/>
      <dgm:spPr/>
    </dgm:pt>
    <dgm:pt modelId="{568149F8-56B2-4E97-B4BB-2343EFE90D24}" type="pres">
      <dgm:prSet presAssocID="{7462A294-66BE-484B-8D7F-ABAEA66C608D}" presName="level" presStyleLbl="node1" presStyleIdx="1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22C7623-7F98-4621-AE34-724EFE30EB45}" type="pres">
      <dgm:prSet presAssocID="{7462A294-66BE-484B-8D7F-ABAEA66C608D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070C1C7-5D73-46D1-9B99-882353553A88}" type="pres">
      <dgm:prSet presAssocID="{ACE6FEDB-5A11-4E8A-B68D-01E0574DBA97}" presName="Name8" presStyleCnt="0"/>
      <dgm:spPr/>
    </dgm:pt>
    <dgm:pt modelId="{6702542E-368A-402A-ADAF-E5557C68A390}" type="pres">
      <dgm:prSet presAssocID="{ACE6FEDB-5A11-4E8A-B68D-01E0574DBA97}" presName="level" presStyleLbl="node1" presStyleIdx="2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B61273B-C8CA-441B-BF30-B05385925AF7}" type="pres">
      <dgm:prSet presAssocID="{ACE6FEDB-5A11-4E8A-B68D-01E0574DBA97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3C778C1-B8C9-4017-9666-32B389868214}" type="pres">
      <dgm:prSet presAssocID="{681AA5E8-6D78-48F2-BB6E-2F1397BCD959}" presName="Name8" presStyleCnt="0"/>
      <dgm:spPr/>
    </dgm:pt>
    <dgm:pt modelId="{1D8A4B4F-F538-4AAE-B5DE-6F3DD12E80B9}" type="pres">
      <dgm:prSet presAssocID="{681AA5E8-6D78-48F2-BB6E-2F1397BCD959}" presName="level" presStyleLbl="node1" presStyleIdx="3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A70B323-E208-41C5-85AF-592084577279}" type="pres">
      <dgm:prSet presAssocID="{681AA5E8-6D78-48F2-BB6E-2F1397BCD959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1558471-196A-4EF4-A3A4-06F6F682A87D}" type="pres">
      <dgm:prSet presAssocID="{3E4E65A2-BD94-47FB-B362-87A52DB4006B}" presName="Name8" presStyleCnt="0"/>
      <dgm:spPr/>
    </dgm:pt>
    <dgm:pt modelId="{868636E4-7650-48B5-9025-A7E5E513F272}" type="pres">
      <dgm:prSet presAssocID="{3E4E65A2-BD94-47FB-B362-87A52DB4006B}" presName="level" presStyleLbl="node1" presStyleIdx="4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2298904-715F-435E-980A-BAEEDC5687AA}" type="pres">
      <dgm:prSet presAssocID="{3E4E65A2-BD94-47FB-B362-87A52DB4006B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698EB67-59AC-40E5-8C17-F13E08B39777}" type="pres">
      <dgm:prSet presAssocID="{6DE96994-14B3-4CCF-B770-280272C38741}" presName="Name8" presStyleCnt="0"/>
      <dgm:spPr/>
    </dgm:pt>
    <dgm:pt modelId="{67D87779-951B-44B8-AA1C-C9613E73B858}" type="pres">
      <dgm:prSet presAssocID="{6DE96994-14B3-4CCF-B770-280272C38741}" presName="level" presStyleLbl="node1" presStyleIdx="5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BBB43F7-3373-418C-9763-5289D539F3B0}" type="pres">
      <dgm:prSet presAssocID="{6DE96994-14B3-4CCF-B770-280272C38741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32D3654-31FE-41D1-80DE-40D3321FFE58}" type="pres">
      <dgm:prSet presAssocID="{30D9DDC0-7291-4BEF-A597-255A30BBF8B4}" presName="Name8" presStyleCnt="0"/>
      <dgm:spPr/>
    </dgm:pt>
    <dgm:pt modelId="{EB595BB3-5761-4428-95D9-37F651BBF7D1}" type="pres">
      <dgm:prSet presAssocID="{30D9DDC0-7291-4BEF-A597-255A30BBF8B4}" presName="level" presStyleLbl="node1" presStyleIdx="6" presStyleCnt="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24F7D33-45F6-435E-9DEF-CDEF3632687E}" type="pres">
      <dgm:prSet presAssocID="{30D9DDC0-7291-4BEF-A597-255A30BBF8B4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67E65461-8027-410A-B68F-D4C938C9364B}" type="presOf" srcId="{F5E37BDC-B88B-4349-8CB9-B8F5338CEE45}" destId="{D3A566C3-9FF7-44D7-8CEC-ED92BBC81C4C}" srcOrd="1" destOrd="0" presId="urn:microsoft.com/office/officeart/2005/8/layout/pyramid1"/>
    <dgm:cxn modelId="{2874EFFF-61EA-45E0-8CE4-420C80C6B220}" srcId="{FCEFEE65-E548-4BEC-A365-D959642FF51C}" destId="{3E4E65A2-BD94-47FB-B362-87A52DB4006B}" srcOrd="4" destOrd="0" parTransId="{ED61B0DE-11E4-4EB3-ABA4-ADA58A698CD8}" sibTransId="{B60897A7-ADD1-4276-B610-C2CE445F22EE}"/>
    <dgm:cxn modelId="{09A8F037-66B9-4DDB-9BB1-CA415986C623}" type="presOf" srcId="{681AA5E8-6D78-48F2-BB6E-2F1397BCD959}" destId="{6A70B323-E208-41C5-85AF-592084577279}" srcOrd="1" destOrd="0" presId="urn:microsoft.com/office/officeart/2005/8/layout/pyramid1"/>
    <dgm:cxn modelId="{2A13A4DE-A3B0-4252-8BB9-B5BE6045CACB}" type="presOf" srcId="{3E4E65A2-BD94-47FB-B362-87A52DB4006B}" destId="{868636E4-7650-48B5-9025-A7E5E513F272}" srcOrd="0" destOrd="0" presId="urn:microsoft.com/office/officeart/2005/8/layout/pyramid1"/>
    <dgm:cxn modelId="{3203BB9A-316B-40F3-B903-F1B27EE34093}" type="presOf" srcId="{7462A294-66BE-484B-8D7F-ABAEA66C608D}" destId="{B22C7623-7F98-4621-AE34-724EFE30EB45}" srcOrd="1" destOrd="0" presId="urn:microsoft.com/office/officeart/2005/8/layout/pyramid1"/>
    <dgm:cxn modelId="{01949167-E875-4847-8D9B-E1DFB67D9DB2}" type="presOf" srcId="{ACE6FEDB-5A11-4E8A-B68D-01E0574DBA97}" destId="{BB61273B-C8CA-441B-BF30-B05385925AF7}" srcOrd="1" destOrd="0" presId="urn:microsoft.com/office/officeart/2005/8/layout/pyramid1"/>
    <dgm:cxn modelId="{BFA25179-2053-4996-9187-58E2792B35E1}" type="presOf" srcId="{6DE96994-14B3-4CCF-B770-280272C38741}" destId="{7BBB43F7-3373-418C-9763-5289D539F3B0}" srcOrd="1" destOrd="0" presId="urn:microsoft.com/office/officeart/2005/8/layout/pyramid1"/>
    <dgm:cxn modelId="{132AECF6-A071-4A4E-9099-AC1BB590DEA5}" srcId="{FCEFEE65-E548-4BEC-A365-D959642FF51C}" destId="{6DE96994-14B3-4CCF-B770-280272C38741}" srcOrd="5" destOrd="0" parTransId="{92898FE0-7F04-4A7F-B3A8-D25AE069D081}" sibTransId="{395394BD-E42F-446D-A4DA-C411BA832C9E}"/>
    <dgm:cxn modelId="{415262D4-0ADA-430A-B4D5-B84BA595DA68}" type="presOf" srcId="{7462A294-66BE-484B-8D7F-ABAEA66C608D}" destId="{568149F8-56B2-4E97-B4BB-2343EFE90D24}" srcOrd="0" destOrd="0" presId="urn:microsoft.com/office/officeart/2005/8/layout/pyramid1"/>
    <dgm:cxn modelId="{5FF960E9-220E-4EFF-8BA4-4660415754FF}" type="presOf" srcId="{FCEFEE65-E548-4BEC-A365-D959642FF51C}" destId="{F67AB82D-91CC-4635-B3CC-A03B2E946C8A}" srcOrd="0" destOrd="0" presId="urn:microsoft.com/office/officeart/2005/8/layout/pyramid1"/>
    <dgm:cxn modelId="{F50176C3-2E2F-4520-BE75-595DE33CD149}" type="presOf" srcId="{ACE6FEDB-5A11-4E8A-B68D-01E0574DBA97}" destId="{6702542E-368A-402A-ADAF-E5557C68A390}" srcOrd="0" destOrd="0" presId="urn:microsoft.com/office/officeart/2005/8/layout/pyramid1"/>
    <dgm:cxn modelId="{B99DFC53-0339-4D17-8070-EC557890237C}" srcId="{FCEFEE65-E548-4BEC-A365-D959642FF51C}" destId="{30D9DDC0-7291-4BEF-A597-255A30BBF8B4}" srcOrd="6" destOrd="0" parTransId="{D0DE4D45-8768-4FC1-B5D4-71E6FA8FCBCB}" sibTransId="{312CF1E0-1E6F-4A59-92FB-FFE406EBD8CE}"/>
    <dgm:cxn modelId="{E12EE8FD-281A-46E6-BAEE-957032305D6F}" srcId="{FCEFEE65-E548-4BEC-A365-D959642FF51C}" destId="{ACE6FEDB-5A11-4E8A-B68D-01E0574DBA97}" srcOrd="2" destOrd="0" parTransId="{99DC9F83-B0B6-4BC9-A91F-61B9F616370E}" sibTransId="{6120E06A-E9D7-4EE0-AFDD-1171DA059F44}"/>
    <dgm:cxn modelId="{1DE909CC-7B09-43CA-92B4-69EF930FFE59}" type="presOf" srcId="{6DE96994-14B3-4CCF-B770-280272C38741}" destId="{67D87779-951B-44B8-AA1C-C9613E73B858}" srcOrd="0" destOrd="0" presId="urn:microsoft.com/office/officeart/2005/8/layout/pyramid1"/>
    <dgm:cxn modelId="{BE90DFA5-C70E-4EFC-AE10-9577BB237098}" type="presOf" srcId="{681AA5E8-6D78-48F2-BB6E-2F1397BCD959}" destId="{1D8A4B4F-F538-4AAE-B5DE-6F3DD12E80B9}" srcOrd="0" destOrd="0" presId="urn:microsoft.com/office/officeart/2005/8/layout/pyramid1"/>
    <dgm:cxn modelId="{F463A38A-B8D3-48CE-B93C-239C71A48F3D}" type="presOf" srcId="{3E4E65A2-BD94-47FB-B362-87A52DB4006B}" destId="{B2298904-715F-435E-980A-BAEEDC5687AA}" srcOrd="1" destOrd="0" presId="urn:microsoft.com/office/officeart/2005/8/layout/pyramid1"/>
    <dgm:cxn modelId="{4726CB4F-9D41-49E5-B2DF-57B81F3307DA}" type="presOf" srcId="{30D9DDC0-7291-4BEF-A597-255A30BBF8B4}" destId="{924F7D33-45F6-435E-9DEF-CDEF3632687E}" srcOrd="1" destOrd="0" presId="urn:microsoft.com/office/officeart/2005/8/layout/pyramid1"/>
    <dgm:cxn modelId="{CCF9548C-79F8-47EE-A5E8-C8C73AF867F1}" type="presOf" srcId="{F5E37BDC-B88B-4349-8CB9-B8F5338CEE45}" destId="{CDB55851-5CD3-47BE-A716-EEA0D2A56231}" srcOrd="0" destOrd="0" presId="urn:microsoft.com/office/officeart/2005/8/layout/pyramid1"/>
    <dgm:cxn modelId="{C7F4EEA4-AD3A-474D-A01F-C8362A01CE1D}" srcId="{FCEFEE65-E548-4BEC-A365-D959642FF51C}" destId="{681AA5E8-6D78-48F2-BB6E-2F1397BCD959}" srcOrd="3" destOrd="0" parTransId="{627B7974-4F42-41B9-B3D6-EF2572AE2825}" sibTransId="{F0F8668E-A477-44CC-BBEF-A20A31602EA6}"/>
    <dgm:cxn modelId="{DEA7D17C-76F2-4BBF-8C9E-22DA78C9BB0A}" type="presOf" srcId="{30D9DDC0-7291-4BEF-A597-255A30BBF8B4}" destId="{EB595BB3-5761-4428-95D9-37F651BBF7D1}" srcOrd="0" destOrd="0" presId="urn:microsoft.com/office/officeart/2005/8/layout/pyramid1"/>
    <dgm:cxn modelId="{A8E714D2-2A58-4236-ADFF-CAC0A7908AFF}" srcId="{FCEFEE65-E548-4BEC-A365-D959642FF51C}" destId="{7462A294-66BE-484B-8D7F-ABAEA66C608D}" srcOrd="1" destOrd="0" parTransId="{BE2BF5BF-C687-4757-AC35-92F285521774}" sibTransId="{4C2332F9-E8F2-49A6-8B71-CCE2B87ABF39}"/>
    <dgm:cxn modelId="{0328C88E-E49F-429D-92DD-BFDC9C3FE5F1}" srcId="{FCEFEE65-E548-4BEC-A365-D959642FF51C}" destId="{F5E37BDC-B88B-4349-8CB9-B8F5338CEE45}" srcOrd="0" destOrd="0" parTransId="{35CAC1FD-1836-4238-953B-C5E6DEB41443}" sibTransId="{A90F213A-27AB-44F3-B9C9-95E4C1E14B85}"/>
    <dgm:cxn modelId="{FB8D45EF-200A-4915-84BF-A657A97DBC17}" type="presParOf" srcId="{F67AB82D-91CC-4635-B3CC-A03B2E946C8A}" destId="{AFD02F32-A478-46F6-8D91-5983E70B5C29}" srcOrd="0" destOrd="0" presId="urn:microsoft.com/office/officeart/2005/8/layout/pyramid1"/>
    <dgm:cxn modelId="{D19FC129-4E0A-4213-AD77-005D8091AFC0}" type="presParOf" srcId="{AFD02F32-A478-46F6-8D91-5983E70B5C29}" destId="{CDB55851-5CD3-47BE-A716-EEA0D2A56231}" srcOrd="0" destOrd="0" presId="urn:microsoft.com/office/officeart/2005/8/layout/pyramid1"/>
    <dgm:cxn modelId="{534D9ED8-759E-454D-A670-0D971E9699C2}" type="presParOf" srcId="{AFD02F32-A478-46F6-8D91-5983E70B5C29}" destId="{D3A566C3-9FF7-44D7-8CEC-ED92BBC81C4C}" srcOrd="1" destOrd="0" presId="urn:microsoft.com/office/officeart/2005/8/layout/pyramid1"/>
    <dgm:cxn modelId="{FB00B84C-5895-46D7-AC78-1663639EFFCE}" type="presParOf" srcId="{F67AB82D-91CC-4635-B3CC-A03B2E946C8A}" destId="{8F808747-EDE1-49B5-8F65-D49E9E2310B7}" srcOrd="1" destOrd="0" presId="urn:microsoft.com/office/officeart/2005/8/layout/pyramid1"/>
    <dgm:cxn modelId="{996393A0-CD6D-4CDA-B8ED-5148AB9D9F9B}" type="presParOf" srcId="{8F808747-EDE1-49B5-8F65-D49E9E2310B7}" destId="{568149F8-56B2-4E97-B4BB-2343EFE90D24}" srcOrd="0" destOrd="0" presId="urn:microsoft.com/office/officeart/2005/8/layout/pyramid1"/>
    <dgm:cxn modelId="{4CDF21EB-A52D-496B-A340-7A30B6FA8312}" type="presParOf" srcId="{8F808747-EDE1-49B5-8F65-D49E9E2310B7}" destId="{B22C7623-7F98-4621-AE34-724EFE30EB45}" srcOrd="1" destOrd="0" presId="urn:microsoft.com/office/officeart/2005/8/layout/pyramid1"/>
    <dgm:cxn modelId="{7056597E-FF89-411E-BF4F-10832DBC28AC}" type="presParOf" srcId="{F67AB82D-91CC-4635-B3CC-A03B2E946C8A}" destId="{D070C1C7-5D73-46D1-9B99-882353553A88}" srcOrd="2" destOrd="0" presId="urn:microsoft.com/office/officeart/2005/8/layout/pyramid1"/>
    <dgm:cxn modelId="{8FAFF12F-E92B-47EC-81FD-5436A4D4714C}" type="presParOf" srcId="{D070C1C7-5D73-46D1-9B99-882353553A88}" destId="{6702542E-368A-402A-ADAF-E5557C68A390}" srcOrd="0" destOrd="0" presId="urn:microsoft.com/office/officeart/2005/8/layout/pyramid1"/>
    <dgm:cxn modelId="{9E0DE5DB-6200-42F5-8B6E-3D2710149408}" type="presParOf" srcId="{D070C1C7-5D73-46D1-9B99-882353553A88}" destId="{BB61273B-C8CA-441B-BF30-B05385925AF7}" srcOrd="1" destOrd="0" presId="urn:microsoft.com/office/officeart/2005/8/layout/pyramid1"/>
    <dgm:cxn modelId="{23E0D5BD-37DF-41D8-BB93-7079D9C4042F}" type="presParOf" srcId="{F67AB82D-91CC-4635-B3CC-A03B2E946C8A}" destId="{63C778C1-B8C9-4017-9666-32B389868214}" srcOrd="3" destOrd="0" presId="urn:microsoft.com/office/officeart/2005/8/layout/pyramid1"/>
    <dgm:cxn modelId="{49619D9B-3951-4CB8-9E6D-E97FF3F1169E}" type="presParOf" srcId="{63C778C1-B8C9-4017-9666-32B389868214}" destId="{1D8A4B4F-F538-4AAE-B5DE-6F3DD12E80B9}" srcOrd="0" destOrd="0" presId="urn:microsoft.com/office/officeart/2005/8/layout/pyramid1"/>
    <dgm:cxn modelId="{35F67112-99B4-47CD-838A-0F6C19B42B6D}" type="presParOf" srcId="{63C778C1-B8C9-4017-9666-32B389868214}" destId="{6A70B323-E208-41C5-85AF-592084577279}" srcOrd="1" destOrd="0" presId="urn:microsoft.com/office/officeart/2005/8/layout/pyramid1"/>
    <dgm:cxn modelId="{60A3D67C-14AB-44CB-B9A1-DF6BDCE96638}" type="presParOf" srcId="{F67AB82D-91CC-4635-B3CC-A03B2E946C8A}" destId="{11558471-196A-4EF4-A3A4-06F6F682A87D}" srcOrd="4" destOrd="0" presId="urn:microsoft.com/office/officeart/2005/8/layout/pyramid1"/>
    <dgm:cxn modelId="{74BCBEE6-1016-42F9-BEF5-906AA71D1810}" type="presParOf" srcId="{11558471-196A-4EF4-A3A4-06F6F682A87D}" destId="{868636E4-7650-48B5-9025-A7E5E513F272}" srcOrd="0" destOrd="0" presId="urn:microsoft.com/office/officeart/2005/8/layout/pyramid1"/>
    <dgm:cxn modelId="{77B774E2-8A44-44FD-8256-478DFC1F618A}" type="presParOf" srcId="{11558471-196A-4EF4-A3A4-06F6F682A87D}" destId="{B2298904-715F-435E-980A-BAEEDC5687AA}" srcOrd="1" destOrd="0" presId="urn:microsoft.com/office/officeart/2005/8/layout/pyramid1"/>
    <dgm:cxn modelId="{1599D99D-7A61-43D4-870C-334FFA5872FB}" type="presParOf" srcId="{F67AB82D-91CC-4635-B3CC-A03B2E946C8A}" destId="{8698EB67-59AC-40E5-8C17-F13E08B39777}" srcOrd="5" destOrd="0" presId="urn:microsoft.com/office/officeart/2005/8/layout/pyramid1"/>
    <dgm:cxn modelId="{AFE8C57F-CA8B-48EC-8DE2-16222B0E6688}" type="presParOf" srcId="{8698EB67-59AC-40E5-8C17-F13E08B39777}" destId="{67D87779-951B-44B8-AA1C-C9613E73B858}" srcOrd="0" destOrd="0" presId="urn:microsoft.com/office/officeart/2005/8/layout/pyramid1"/>
    <dgm:cxn modelId="{5B416D9A-95A0-4B4B-9A78-6BDBFD902E59}" type="presParOf" srcId="{8698EB67-59AC-40E5-8C17-F13E08B39777}" destId="{7BBB43F7-3373-418C-9763-5289D539F3B0}" srcOrd="1" destOrd="0" presId="urn:microsoft.com/office/officeart/2005/8/layout/pyramid1"/>
    <dgm:cxn modelId="{04AF6DA8-1049-437A-ACC1-BC9D7ED933F4}" type="presParOf" srcId="{F67AB82D-91CC-4635-B3CC-A03B2E946C8A}" destId="{F32D3654-31FE-41D1-80DE-40D3321FFE58}" srcOrd="6" destOrd="0" presId="urn:microsoft.com/office/officeart/2005/8/layout/pyramid1"/>
    <dgm:cxn modelId="{77E775B4-4576-4164-B0A9-FE3A8A3CDE1A}" type="presParOf" srcId="{F32D3654-31FE-41D1-80DE-40D3321FFE58}" destId="{EB595BB3-5761-4428-95D9-37F651BBF7D1}" srcOrd="0" destOrd="0" presId="urn:microsoft.com/office/officeart/2005/8/layout/pyramid1"/>
    <dgm:cxn modelId="{8A31EB20-63D3-47FA-99FD-A22E79B6CC6D}" type="presParOf" srcId="{F32D3654-31FE-41D1-80DE-40D3321FFE58}" destId="{924F7D33-45F6-435E-9DEF-CDEF3632687E}" srcOrd="1" destOrd="0" presId="urn:microsoft.com/office/officeart/2005/8/layout/pyramid1"/>
  </dgm:cxnLst>
  <dgm:bg>
    <a:effectLst>
      <a:outerShdw blurRad="50800" dist="38100" dir="13500000" algn="br" rotWithShape="0">
        <a:prstClr val="black">
          <a:alpha val="40000"/>
        </a:prstClr>
      </a:outerShdw>
    </a:effectLst>
  </dgm:bg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1">
  <dgm:title val=""/>
  <dgm:desc val=""/>
  <dgm:catLst>
    <dgm:cat type="pyramid" pri="1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pyra">
          <dgm:param type="linDir" val="fromB"/>
          <dgm:param type="txDir" val="fromT"/>
          <dgm:param type="pyraAcctPos" val="aft"/>
          <dgm:param type="pyraAcctTxMar" val="step"/>
          <dgm:param type="pyraAcctBkgdNode" val="acctBkgd"/>
          <dgm:param type="pyraAcctTxNode" val="acctTx"/>
          <dgm:param type="pyraLvlNode" val="level"/>
        </dgm:alg>
      </dgm:if>
      <dgm:else name="Name3">
        <dgm:alg type="pyra">
          <dgm:param type="linDir" val="fromB"/>
          <dgm:param type="txDir" val="fromT"/>
          <dgm:param type="pyraAcctPos" val="bef"/>
          <dgm:param type="pyraAcctTxMar" val="step"/>
          <dgm:param type="pyraAcctBkgdNode" val="acctBkgd"/>
          <dgm:param type="pyraAcctTxNode" val="acctTx"/>
          <dgm:param type="pyraLvlNode" val="level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ptType="all node" func="maxDepth" op="gte" val="2">
        <dgm:constrLst>
          <dgm:constr type="primFontSz" for="des" forName="levelTx" op="equ"/>
          <dgm:constr type="secFontSz" for="des" forName="acctTx" op="equ"/>
          <dgm:constr type="pyraAcctRatio" val="0.32"/>
        </dgm:constrLst>
      </dgm:if>
      <dgm:else name="Name6">
        <dgm:constrLst>
          <dgm:constr type="primFontSz" for="des" forName="levelTx" op="equ"/>
          <dgm:constr type="secFontSz" for="des" forName="acctTx" op="equ"/>
          <dgm:constr type="pyraAcctRatio"/>
        </dgm:constrLst>
      </dgm:else>
    </dgm:choose>
    <dgm:ruleLst/>
    <dgm:forEach name="Name7" axis="ch" ptType="node">
      <dgm:layoutNode name="Name8">
        <dgm:alg type="composite">
          <dgm:param type="horzAlign" val="none"/>
        </dgm:alg>
        <dgm:shape xmlns:r="http://schemas.openxmlformats.org/officeDocument/2006/relationships" r:blip="">
          <dgm:adjLst/>
        </dgm:shape>
        <dgm:presOf/>
        <dgm:choose name="Name9">
          <dgm:if name="Name10" axis="self" ptType="node" func="pos" op="equ" val="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/>
              <dgm:constr type="h" for="ch" forName="levelTx" refType="h" refFor="ch" refForName="level"/>
            </dgm:constrLst>
          </dgm:if>
          <dgm:else name="Name1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 fact="0.65"/>
              <dgm:constr type="h" for="ch" forName="levelTx" refType="h" refFor="ch" refForName="level"/>
            </dgm:constrLst>
          </dgm:else>
        </dgm:choose>
        <dgm:ruleLst/>
        <dgm:choose name="Name12">
          <dgm:if name="Name13" axis="ch" ptType="node" func="cnt" op="gte" val="1">
            <dgm:layoutNode name="acctBkgd" styleLbl="alignAcc1">
              <dgm:alg type="sp"/>
              <dgm:shape xmlns:r="http://schemas.openxmlformats.org/officeDocument/2006/relationships" type="nonIsoscelesTrapezoid" r:blip="">
                <dgm:adjLst/>
              </dgm:shape>
              <dgm:presOf axis="des" ptType="node"/>
              <dgm:constrLst/>
              <dgm:ruleLst/>
            </dgm:layoutNode>
            <dgm:layoutNode name="acctTx" styleLbl="alignAcc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type="nonIsoscelesTrapezoid" r:blip="" hideGeom="1">
                <dgm:adjLst/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3"/>
                <dgm:constr type="bMarg" refType="secFontSz" fact="0.3"/>
                <dgm:constr type="lMarg" refType="secFontSz" fact="0.3"/>
                <dgm:constr type="rMarg" refType="secFontSz" fact="0.3"/>
              </dgm:constrLst>
              <dgm:ruleLst>
                <dgm:rule type="secFontSz" val="5" fact="NaN" max="NaN"/>
              </dgm:ruleLst>
            </dgm:layoutNode>
          </dgm:if>
          <dgm:else name="Name14"/>
        </dgm:choose>
        <dgm:layoutNode name="level">
          <dgm:varLst>
            <dgm:chMax val="1"/>
            <dgm:bulletEnabled val="1"/>
          </dgm:varLst>
          <dgm:alg type="sp"/>
          <dgm:shape xmlns:r="http://schemas.openxmlformats.org/officeDocument/2006/relationships" type="trapezoid" r:blip="">
            <dgm:adjLst/>
          </dgm:shape>
          <dgm:presOf axis="self"/>
          <dgm:constrLst>
            <dgm:constr type="h" val="500"/>
            <dgm:constr type="w" val="1"/>
          </dgm:constrLst>
          <dgm:ruleLst/>
        </dgm:layoutNode>
        <dgm:layoutNode name="levelTx" styleLbl="revTx">
          <dgm:varLst>
            <dgm:chMax val="1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yramid1">
  <dgm:title val=""/>
  <dgm:desc val=""/>
  <dgm:catLst>
    <dgm:cat type="pyramid" pri="1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pyra">
          <dgm:param type="linDir" val="fromB"/>
          <dgm:param type="txDir" val="fromT"/>
          <dgm:param type="pyraAcctPos" val="aft"/>
          <dgm:param type="pyraAcctTxMar" val="step"/>
          <dgm:param type="pyraAcctBkgdNode" val="acctBkgd"/>
          <dgm:param type="pyraAcctTxNode" val="acctTx"/>
          <dgm:param type="pyraLvlNode" val="level"/>
        </dgm:alg>
      </dgm:if>
      <dgm:else name="Name3">
        <dgm:alg type="pyra">
          <dgm:param type="linDir" val="fromB"/>
          <dgm:param type="txDir" val="fromT"/>
          <dgm:param type="pyraAcctPos" val="bef"/>
          <dgm:param type="pyraAcctTxMar" val="step"/>
          <dgm:param type="pyraAcctBkgdNode" val="acctBkgd"/>
          <dgm:param type="pyraAcctTxNode" val="acctTx"/>
          <dgm:param type="pyraLvlNode" val="level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ptType="all node" func="maxDepth" op="gte" val="2">
        <dgm:constrLst>
          <dgm:constr type="primFontSz" for="des" forName="levelTx" op="equ"/>
          <dgm:constr type="secFontSz" for="des" forName="acctTx" op="equ"/>
          <dgm:constr type="pyraAcctRatio" val="0.32"/>
        </dgm:constrLst>
      </dgm:if>
      <dgm:else name="Name6">
        <dgm:constrLst>
          <dgm:constr type="primFontSz" for="des" forName="levelTx" op="equ"/>
          <dgm:constr type="secFontSz" for="des" forName="acctTx" op="equ"/>
          <dgm:constr type="pyraAcctRatio"/>
        </dgm:constrLst>
      </dgm:else>
    </dgm:choose>
    <dgm:ruleLst/>
    <dgm:forEach name="Name7" axis="ch" ptType="node">
      <dgm:layoutNode name="Name8">
        <dgm:alg type="composite">
          <dgm:param type="horzAlign" val="none"/>
        </dgm:alg>
        <dgm:shape xmlns:r="http://schemas.openxmlformats.org/officeDocument/2006/relationships" r:blip="">
          <dgm:adjLst/>
        </dgm:shape>
        <dgm:presOf/>
        <dgm:choose name="Name9">
          <dgm:if name="Name10" axis="self" ptType="node" func="pos" op="equ" val="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/>
              <dgm:constr type="h" for="ch" forName="levelTx" refType="h" refFor="ch" refForName="level"/>
            </dgm:constrLst>
          </dgm:if>
          <dgm:else name="Name1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 fact="0.65"/>
              <dgm:constr type="h" for="ch" forName="levelTx" refType="h" refFor="ch" refForName="level"/>
            </dgm:constrLst>
          </dgm:else>
        </dgm:choose>
        <dgm:ruleLst/>
        <dgm:choose name="Name12">
          <dgm:if name="Name13" axis="ch" ptType="node" func="cnt" op="gte" val="1">
            <dgm:layoutNode name="acctBkgd" styleLbl="alignAcc1">
              <dgm:alg type="sp"/>
              <dgm:shape xmlns:r="http://schemas.openxmlformats.org/officeDocument/2006/relationships" type="nonIsoscelesTrapezoid" r:blip="">
                <dgm:adjLst/>
              </dgm:shape>
              <dgm:presOf axis="des" ptType="node"/>
              <dgm:constrLst/>
              <dgm:ruleLst/>
            </dgm:layoutNode>
            <dgm:layoutNode name="acctTx" styleLbl="alignAcc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type="nonIsoscelesTrapezoid" r:blip="" hideGeom="1">
                <dgm:adjLst/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3"/>
                <dgm:constr type="bMarg" refType="secFontSz" fact="0.3"/>
                <dgm:constr type="lMarg" refType="secFontSz" fact="0.3"/>
                <dgm:constr type="rMarg" refType="secFontSz" fact="0.3"/>
              </dgm:constrLst>
              <dgm:ruleLst>
                <dgm:rule type="secFontSz" val="5" fact="NaN" max="NaN"/>
              </dgm:ruleLst>
            </dgm:layoutNode>
          </dgm:if>
          <dgm:else name="Name14"/>
        </dgm:choose>
        <dgm:layoutNode name="level">
          <dgm:varLst>
            <dgm:chMax val="1"/>
            <dgm:bulletEnabled val="1"/>
          </dgm:varLst>
          <dgm:alg type="sp"/>
          <dgm:shape xmlns:r="http://schemas.openxmlformats.org/officeDocument/2006/relationships" type="trapezoid" r:blip="">
            <dgm:adjLst/>
          </dgm:shape>
          <dgm:presOf axis="self"/>
          <dgm:constrLst>
            <dgm:constr type="h" val="500"/>
            <dgm:constr type="w" val="1"/>
          </dgm:constrLst>
          <dgm:ruleLst/>
        </dgm:layoutNode>
        <dgm:layoutNode name="levelTx" styleLbl="revTx">
          <dgm:varLst>
            <dgm:chMax val="1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5">
  <dgm:title val=""/>
  <dgm:desc val=""/>
  <dgm:catLst>
    <dgm:cat type="3D" pri="11500"/>
  </dgm:catLst>
  <dgm:scene3d>
    <a:camera prst="isometricOffAxis2Left" zoom="95000"/>
    <a:lightRig rig="flat" dir="t"/>
  </dgm:scene3d>
  <dgm:styleLbl name="node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z="5715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381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52400" extrusionH="1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38100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extrusionH="3810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400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z="57150"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63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4005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40050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4005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z="5715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5">
  <dgm:title val=""/>
  <dgm:desc val=""/>
  <dgm:catLst>
    <dgm:cat type="3D" pri="11500"/>
  </dgm:catLst>
  <dgm:scene3d>
    <a:camera prst="isometricOffAxis2Left" zoom="95000"/>
    <a:lightRig rig="flat" dir="t"/>
  </dgm:scene3d>
  <dgm:styleLbl name="node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z="5715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381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52400" extrusionH="1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38100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extrusionH="3810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400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z="57150"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63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4005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40050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4005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z="5715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1.xml"/><Relationship Id="rId3" Type="http://schemas.openxmlformats.org/officeDocument/2006/relationships/chart" Target="../charts/chart3.xml"/><Relationship Id="rId7" Type="http://schemas.openxmlformats.org/officeDocument/2006/relationships/diagramLayout" Target="../diagrams/layout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diagramData" Target="../diagrams/data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4" Type="http://schemas.openxmlformats.org/officeDocument/2006/relationships/diagramColors" Target="../diagrams/colors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91541</xdr:colOff>
      <xdr:row>32</xdr:row>
      <xdr:rowOff>263237</xdr:rowOff>
    </xdr:from>
    <xdr:to>
      <xdr:col>15</xdr:col>
      <xdr:colOff>789709</xdr:colOff>
      <xdr:row>53</xdr:row>
      <xdr:rowOff>1225</xdr:rowOff>
    </xdr:to>
    <xdr:graphicFrame macro="">
      <xdr:nvGraphicFramePr>
        <xdr:cNvPr id="211661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227107</xdr:colOff>
      <xdr:row>16</xdr:row>
      <xdr:rowOff>52843</xdr:rowOff>
    </xdr:from>
    <xdr:to>
      <xdr:col>6</xdr:col>
      <xdr:colOff>84809</xdr:colOff>
      <xdr:row>30</xdr:row>
      <xdr:rowOff>209550</xdr:rowOff>
    </xdr:to>
    <xdr:graphicFrame macro="">
      <xdr:nvGraphicFramePr>
        <xdr:cNvPr id="211661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98715</xdr:colOff>
      <xdr:row>12</xdr:row>
      <xdr:rowOff>221672</xdr:rowOff>
    </xdr:from>
    <xdr:to>
      <xdr:col>16</xdr:col>
      <xdr:colOff>1302328</xdr:colOff>
      <xdr:row>29</xdr:row>
      <xdr:rowOff>138545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732560</xdr:colOff>
      <xdr:row>13</xdr:row>
      <xdr:rowOff>124691</xdr:rowOff>
    </xdr:from>
    <xdr:to>
      <xdr:col>12</xdr:col>
      <xdr:colOff>801832</xdr:colOff>
      <xdr:row>28</xdr:row>
      <xdr:rowOff>93519</xdr:rowOff>
    </xdr:to>
    <xdr:cxnSp macro="">
      <xdr:nvCxnSpPr>
        <xdr:cNvPr id="17" name="Straight Connector 16"/>
        <xdr:cNvCxnSpPr/>
      </xdr:nvCxnSpPr>
      <xdr:spPr>
        <a:xfrm flipH="1">
          <a:off x="13437178" y="7079673"/>
          <a:ext cx="69272" cy="5261264"/>
        </a:xfrm>
        <a:prstGeom prst="line">
          <a:avLst/>
        </a:prstGeom>
        <a:ln w="53975" cmpd="sng">
          <a:solidFill>
            <a:srgbClr val="00B0F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637309</xdr:colOff>
      <xdr:row>14</xdr:row>
      <xdr:rowOff>27249</xdr:rowOff>
    </xdr:from>
    <xdr:to>
      <xdr:col>16</xdr:col>
      <xdr:colOff>1055914</xdr:colOff>
      <xdr:row>20</xdr:row>
      <xdr:rowOff>190501</xdr:rowOff>
    </xdr:to>
    <xdr:sp macro="" textlink="">
      <xdr:nvSpPr>
        <xdr:cNvPr id="4" name="Rectangular Callout 3"/>
        <xdr:cNvSpPr/>
      </xdr:nvSpPr>
      <xdr:spPr>
        <a:xfrm>
          <a:off x="16251382" y="7605685"/>
          <a:ext cx="1291441" cy="2615507"/>
        </a:xfrm>
        <a:prstGeom prst="wedgeRectCallout">
          <a:avLst>
            <a:gd name="adj1" fmla="val -79070"/>
            <a:gd name="adj2" fmla="val -47646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ctr"/>
          <a:r>
            <a:rPr lang="en-US" sz="1600" b="1">
              <a:solidFill>
                <a:schemeClr val="tx1"/>
              </a:solidFill>
            </a:rPr>
            <a:t> Forecast  Completion </a:t>
          </a:r>
        </a:p>
      </xdr:txBody>
    </xdr:sp>
    <xdr:clientData/>
  </xdr:twoCellAnchor>
  <xdr:twoCellAnchor>
    <xdr:from>
      <xdr:col>17</xdr:col>
      <xdr:colOff>235528</xdr:colOff>
      <xdr:row>21</xdr:row>
      <xdr:rowOff>200148</xdr:rowOff>
    </xdr:from>
    <xdr:to>
      <xdr:col>25</xdr:col>
      <xdr:colOff>3463</xdr:colOff>
      <xdr:row>31</xdr:row>
      <xdr:rowOff>209550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3</xdr:row>
      <xdr:rowOff>57150</xdr:rowOff>
    </xdr:from>
    <xdr:to>
      <xdr:col>5</xdr:col>
      <xdr:colOff>1202106</xdr:colOff>
      <xdr:row>5</xdr:row>
      <xdr:rowOff>405492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1094508</xdr:colOff>
      <xdr:row>7</xdr:row>
      <xdr:rowOff>568036</xdr:rowOff>
    </xdr:from>
    <xdr:to>
      <xdr:col>21</xdr:col>
      <xdr:colOff>124690</xdr:colOff>
      <xdr:row>18</xdr:row>
      <xdr:rowOff>27708</xdr:rowOff>
    </xdr:to>
    <xdr:graphicFrame macro="">
      <xdr:nvGraphicFramePr>
        <xdr:cNvPr id="35" name="Diagram 3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0.98282</cdr:x>
      <cdr:y>0</cdr:y>
    </cdr:from>
    <cdr:to>
      <cdr:x>0.98357</cdr:x>
      <cdr:y>0.74657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125421" y="0"/>
          <a:ext cx="5442" cy="1696688"/>
        </a:xfrm>
        <a:prstGeom xmlns:a="http://schemas.openxmlformats.org/drawingml/2006/main" prst="line">
          <a:avLst/>
        </a:prstGeom>
        <a:ln xmlns:a="http://schemas.openxmlformats.org/drawingml/2006/main" w="25400" cmpd="sng">
          <a:solidFill>
            <a:srgbClr val="00B0F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34637</xdr:colOff>
      <xdr:row>7</xdr:row>
      <xdr:rowOff>225137</xdr:rowOff>
    </xdr:from>
    <xdr:to>
      <xdr:col>14</xdr:col>
      <xdr:colOff>28603</xdr:colOff>
      <xdr:row>10</xdr:row>
      <xdr:rowOff>176541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 rot="19636409">
          <a:off x="6563592" y="8330046"/>
          <a:ext cx="2002875" cy="626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/>
        <a:p>
          <a:pPr marL="0" marR="0">
            <a:spcBef>
              <a:spcPts val="840"/>
            </a:spcBef>
            <a:spcAft>
              <a:spcPts val="0"/>
            </a:spcAft>
          </a:pPr>
          <a:r>
            <a:rPr lang="en-US" sz="1400" b="1" kern="1200">
              <a:solidFill>
                <a:srgbClr val="FFFFFF"/>
              </a:solidFill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LTI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34637</xdr:colOff>
      <xdr:row>7</xdr:row>
      <xdr:rowOff>225137</xdr:rowOff>
    </xdr:from>
    <xdr:to>
      <xdr:col>14</xdr:col>
      <xdr:colOff>28603</xdr:colOff>
      <xdr:row>10</xdr:row>
      <xdr:rowOff>176541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 rot="19636409">
          <a:off x="6587837" y="7873712"/>
          <a:ext cx="2003741" cy="62767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/>
        <a:p>
          <a:pPr marL="0" marR="0">
            <a:spcBef>
              <a:spcPts val="840"/>
            </a:spcBef>
            <a:spcAft>
              <a:spcPts val="0"/>
            </a:spcAft>
          </a:pPr>
          <a:r>
            <a:rPr lang="en-US" sz="1400" b="1" kern="1200">
              <a:solidFill>
                <a:srgbClr val="FFFFFF"/>
              </a:solidFill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LTI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606484</xdr:colOff>
      <xdr:row>2</xdr:row>
      <xdr:rowOff>183602</xdr:rowOff>
    </xdr:from>
    <xdr:to>
      <xdr:col>13</xdr:col>
      <xdr:colOff>323850</xdr:colOff>
      <xdr:row>25</xdr:row>
      <xdr:rowOff>26185</xdr:rowOff>
    </xdr:to>
    <xdr:grpSp>
      <xdr:nvGrpSpPr>
        <xdr:cNvPr id="25" name="Group 24"/>
        <xdr:cNvGrpSpPr/>
      </xdr:nvGrpSpPr>
      <xdr:grpSpPr>
        <a:xfrm>
          <a:off x="606484" y="707477"/>
          <a:ext cx="7218304" cy="5605208"/>
          <a:chOff x="-1094769" y="-371771"/>
          <a:chExt cx="5079373" cy="2154260"/>
        </a:xfrm>
      </xdr:grpSpPr>
      <xdr:graphicFrame macro="">
        <xdr:nvGraphicFramePr>
          <xdr:cNvPr id="26" name="Diagram 25"/>
          <xdr:cNvGraphicFramePr/>
        </xdr:nvGraphicFramePr>
        <xdr:xfrm>
          <a:off x="-1094769" y="-342644"/>
          <a:ext cx="4845039" cy="212513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" r:lo="rId2" r:qs="rId3" r:cs="rId4"/>
          </a:graphicData>
        </a:graphic>
      </xdr:graphicFrame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 rot="19593194">
            <a:off x="1499850" y="-371771"/>
            <a:ext cx="809225" cy="2924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Fatalities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 rot="19606771">
            <a:off x="2111753" y="258264"/>
            <a:ext cx="686615" cy="1656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MTC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4" name="Text Box 17"/>
          <xdr:cNvSpPr txBox="1">
            <a:spLocks noChangeArrowheads="1"/>
          </xdr:cNvSpPr>
        </xdr:nvSpPr>
        <xdr:spPr bwMode="auto">
          <a:xfrm rot="19597148">
            <a:off x="2566273" y="555669"/>
            <a:ext cx="682193" cy="5938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no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First Aid 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 rot="19711533">
            <a:off x="2787024" y="859912"/>
            <a:ext cx="701087" cy="2924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Ill Health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 rot="19625019">
            <a:off x="2977265" y="1142764"/>
            <a:ext cx="907715" cy="2924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Near Miss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7" name="Text Box 20"/>
          <xdr:cNvSpPr txBox="1">
            <a:spLocks noChangeArrowheads="1"/>
          </xdr:cNvSpPr>
        </xdr:nvSpPr>
        <xdr:spPr bwMode="auto">
          <a:xfrm rot="19636409">
            <a:off x="3201911" y="1434517"/>
            <a:ext cx="782693" cy="2924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/>
          <a:p>
            <a:pPr marL="0" marR="0">
              <a:spcBef>
                <a:spcPts val="840"/>
              </a:spcBef>
              <a:spcAft>
                <a:spcPts val="0"/>
              </a:spcAft>
            </a:pPr>
            <a:r>
              <a:rPr lang="en-US" sz="2000" b="1" kern="1200">
                <a:solidFill>
                  <a:srgbClr val="FFFFFF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Observation</a:t>
            </a:r>
            <a:endParaRPr lang="en-US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7</xdr:col>
      <xdr:colOff>202749</xdr:colOff>
      <xdr:row>5</xdr:row>
      <xdr:rowOff>267938</xdr:rowOff>
    </xdr:from>
    <xdr:to>
      <xdr:col>9</xdr:col>
      <xdr:colOff>392125</xdr:colOff>
      <xdr:row>7</xdr:row>
      <xdr:rowOff>276245</xdr:rowOff>
    </xdr:to>
    <xdr:sp macro="" textlink="">
      <xdr:nvSpPr>
        <xdr:cNvPr id="38" name="Text Box 16"/>
        <xdr:cNvSpPr txBox="1">
          <a:spLocks noChangeArrowheads="1"/>
        </xdr:cNvSpPr>
      </xdr:nvSpPr>
      <xdr:spPr bwMode="auto">
        <a:xfrm rot="19606771">
          <a:off x="4831899" y="1429988"/>
          <a:ext cx="1218076" cy="9989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/>
        <a:p>
          <a:pPr marL="0" marR="0">
            <a:spcBef>
              <a:spcPts val="840"/>
            </a:spcBef>
            <a:spcAft>
              <a:spcPts val="0"/>
            </a:spcAft>
          </a:pPr>
          <a:r>
            <a:rPr lang="en-US" sz="2000" b="1" kern="1200">
              <a:solidFill>
                <a:srgbClr val="FFFFFF"/>
              </a:solidFill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LTI</a:t>
          </a:r>
          <a:endParaRPr lang="en-US" sz="2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M88"/>
  <sheetViews>
    <sheetView showWhiteSpace="0" topLeftCell="J10" zoomScale="55" zoomScaleNormal="55" zoomScaleSheetLayoutView="40" zoomScalePageLayoutView="55" workbookViewId="0">
      <selection activeCell="O9" sqref="O9:Q11"/>
    </sheetView>
  </sheetViews>
  <sheetFormatPr defaultColWidth="9.140625" defaultRowHeight="15"/>
  <cols>
    <col min="1" max="2" width="12.7109375" style="1" customWidth="1"/>
    <col min="3" max="3" width="16.28515625" style="1" customWidth="1"/>
    <col min="4" max="4" width="22.5703125" style="1" customWidth="1"/>
    <col min="5" max="5" width="21" style="1" customWidth="1"/>
    <col min="6" max="6" width="18.140625" style="1" customWidth="1"/>
    <col min="7" max="8" width="12.7109375" style="1" customWidth="1"/>
    <col min="9" max="9" width="15.28515625" style="1" customWidth="1"/>
    <col min="10" max="11" width="12.7109375" style="1" customWidth="1"/>
    <col min="12" max="12" width="15.42578125" style="1" customWidth="1"/>
    <col min="13" max="14" width="12.7109375" style="1" customWidth="1"/>
    <col min="15" max="15" width="16.85546875" style="1" customWidth="1"/>
    <col min="16" max="16" width="12.7109375" style="1" customWidth="1"/>
    <col min="17" max="17" width="22.7109375" style="1" customWidth="1"/>
    <col min="18" max="18" width="12.7109375" style="1" customWidth="1"/>
    <col min="19" max="19" width="13.7109375" style="1" customWidth="1"/>
    <col min="20" max="22" width="12.7109375" style="1" customWidth="1"/>
    <col min="23" max="23" width="23.5703125" style="1" customWidth="1"/>
    <col min="24" max="24" width="12.7109375" style="1" customWidth="1"/>
    <col min="25" max="25" width="20" style="1" customWidth="1"/>
    <col min="26" max="26" width="16.5703125" style="1" customWidth="1"/>
    <col min="27" max="27" width="26.85546875" style="1" customWidth="1"/>
    <col min="28" max="28" width="23.140625" style="115" customWidth="1"/>
    <col min="29" max="29" width="25.140625" style="1" customWidth="1"/>
    <col min="30" max="30" width="18.140625" style="1" customWidth="1"/>
    <col min="31" max="31" width="11.42578125" style="1" customWidth="1"/>
    <col min="32" max="32" width="18.5703125" style="1" customWidth="1"/>
    <col min="33" max="33" width="11.42578125" style="1" customWidth="1"/>
    <col min="34" max="35" width="16.5703125" style="1" customWidth="1"/>
    <col min="36" max="36" width="14.5703125" style="1" customWidth="1"/>
    <col min="37" max="37" width="10.85546875" style="84" customWidth="1"/>
    <col min="38" max="38" width="22.140625" style="124" customWidth="1"/>
    <col min="39" max="39" width="20.140625" style="1" customWidth="1"/>
    <col min="40" max="76" width="9.140625" style="1"/>
    <col min="77" max="80" width="10.140625" style="1" bestFit="1" customWidth="1"/>
    <col min="81" max="16384" width="9.140625" style="1"/>
  </cols>
  <sheetData>
    <row r="1" spans="1:42" s="6" customFormat="1" ht="33" customHeight="1">
      <c r="A1" s="302" t="s">
        <v>136</v>
      </c>
      <c r="B1" s="303"/>
      <c r="C1" s="303"/>
      <c r="D1" s="303"/>
      <c r="E1" s="303"/>
      <c r="F1" s="304"/>
      <c r="G1" s="277" t="s">
        <v>121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9"/>
      <c r="S1" s="308" t="s">
        <v>137</v>
      </c>
      <c r="T1" s="309"/>
      <c r="U1" s="309"/>
      <c r="V1" s="309"/>
      <c r="W1" s="309"/>
      <c r="X1" s="309"/>
      <c r="Y1" s="310"/>
      <c r="AA1" s="27"/>
      <c r="AB1" s="144"/>
      <c r="AK1" s="79"/>
      <c r="AL1" s="116"/>
    </row>
    <row r="2" spans="1:42" s="6" customFormat="1" ht="33" customHeight="1" thickBot="1">
      <c r="A2" s="305"/>
      <c r="B2" s="306"/>
      <c r="C2" s="306"/>
      <c r="D2" s="306"/>
      <c r="E2" s="306"/>
      <c r="F2" s="307"/>
      <c r="G2" s="274" t="s">
        <v>120</v>
      </c>
      <c r="H2" s="275"/>
      <c r="I2" s="275"/>
      <c r="J2" s="276"/>
      <c r="K2" s="294" t="s">
        <v>102</v>
      </c>
      <c r="L2" s="295"/>
      <c r="M2" s="295"/>
      <c r="N2" s="295"/>
      <c r="O2" s="274">
        <v>43415</v>
      </c>
      <c r="P2" s="275"/>
      <c r="Q2" s="275"/>
      <c r="R2" s="276"/>
      <c r="S2" s="311"/>
      <c r="T2" s="312"/>
      <c r="U2" s="312"/>
      <c r="V2" s="312"/>
      <c r="W2" s="312"/>
      <c r="X2" s="312"/>
      <c r="Y2" s="313"/>
      <c r="AA2" s="27"/>
      <c r="AB2" s="144"/>
      <c r="AH2" s="19"/>
      <c r="AI2" s="19"/>
      <c r="AJ2" s="19"/>
      <c r="AK2" s="19"/>
      <c r="AL2" s="117"/>
      <c r="AM2" s="19"/>
      <c r="AN2" s="19"/>
      <c r="AO2" s="18"/>
      <c r="AP2" s="18"/>
    </row>
    <row r="3" spans="1:42" s="5" customFormat="1" ht="30.75" customHeight="1" thickBot="1">
      <c r="A3" s="319" t="s">
        <v>30</v>
      </c>
      <c r="B3" s="320"/>
      <c r="C3" s="320"/>
      <c r="D3" s="320"/>
      <c r="E3" s="320"/>
      <c r="F3" s="320"/>
      <c r="G3" s="321"/>
      <c r="H3" s="321"/>
      <c r="I3" s="321"/>
      <c r="J3" s="321"/>
      <c r="K3" s="321"/>
      <c r="L3" s="321"/>
      <c r="M3" s="321"/>
      <c r="N3" s="321"/>
      <c r="O3" s="322"/>
      <c r="P3" s="238" t="s">
        <v>32</v>
      </c>
      <c r="Q3" s="239"/>
      <c r="R3" s="239"/>
      <c r="S3" s="239"/>
      <c r="T3" s="239"/>
      <c r="U3" s="239"/>
      <c r="V3" s="239"/>
      <c r="W3" s="239"/>
      <c r="X3" s="239"/>
      <c r="Y3" s="240"/>
      <c r="AA3" s="60" t="s">
        <v>35</v>
      </c>
      <c r="AB3" s="145">
        <v>1</v>
      </c>
      <c r="AC3" s="62">
        <v>1</v>
      </c>
      <c r="AD3" s="61">
        <v>1</v>
      </c>
      <c r="AE3" s="62">
        <v>1</v>
      </c>
      <c r="AF3" s="61">
        <v>1</v>
      </c>
      <c r="AH3" s="1"/>
      <c r="AI3" s="1"/>
      <c r="AJ3" s="1"/>
      <c r="AK3" s="1"/>
      <c r="AL3" s="118"/>
      <c r="AM3" s="1"/>
      <c r="AN3" s="1"/>
      <c r="AO3" s="2"/>
      <c r="AP3" s="2"/>
    </row>
    <row r="4" spans="1:42" s="2" customFormat="1" ht="39.75" customHeight="1">
      <c r="A4" s="44"/>
      <c r="B4" s="42"/>
      <c r="C4" s="42"/>
      <c r="D4" s="42"/>
      <c r="E4" s="42"/>
      <c r="F4" s="42"/>
      <c r="G4" s="296" t="s">
        <v>28</v>
      </c>
      <c r="H4" s="297"/>
      <c r="I4" s="99">
        <f>D9</f>
        <v>42767</v>
      </c>
      <c r="J4" s="286" t="s">
        <v>25</v>
      </c>
      <c r="K4" s="286"/>
      <c r="L4" s="102">
        <f>O2-I4+1</f>
        <v>649</v>
      </c>
      <c r="M4" s="286" t="s">
        <v>26</v>
      </c>
      <c r="N4" s="286"/>
      <c r="O4" s="104">
        <f>E15+365</f>
        <v>44144</v>
      </c>
      <c r="P4" s="222" t="s">
        <v>130</v>
      </c>
      <c r="Q4" s="223"/>
      <c r="R4" s="287" t="s">
        <v>131</v>
      </c>
      <c r="S4" s="287"/>
      <c r="T4" s="287"/>
      <c r="U4" s="287"/>
      <c r="V4" s="287"/>
      <c r="W4" s="287"/>
      <c r="X4" s="287"/>
      <c r="Y4" s="288"/>
      <c r="AA4" s="65" t="s">
        <v>36</v>
      </c>
      <c r="AB4" s="146">
        <f>L5</f>
        <v>0.64067127344521224</v>
      </c>
      <c r="AC4" s="67"/>
      <c r="AD4" s="66">
        <v>0.25</v>
      </c>
      <c r="AE4" s="67"/>
      <c r="AF4" s="66">
        <v>1.1200000000000001</v>
      </c>
      <c r="AH4" s="1"/>
      <c r="AI4" s="1"/>
      <c r="AJ4" s="1"/>
      <c r="AK4" s="1"/>
      <c r="AL4" s="118"/>
      <c r="AM4" s="1"/>
      <c r="AN4" s="1"/>
    </row>
    <row r="5" spans="1:42" s="2" customFormat="1" ht="39.75" customHeight="1">
      <c r="A5" s="44"/>
      <c r="B5" s="42"/>
      <c r="C5" s="42"/>
      <c r="D5" s="42"/>
      <c r="E5" s="42"/>
      <c r="F5" s="42"/>
      <c r="G5" s="298" t="s">
        <v>29</v>
      </c>
      <c r="H5" s="299"/>
      <c r="I5" s="100">
        <f>E15</f>
        <v>43779</v>
      </c>
      <c r="J5" s="285" t="s">
        <v>27</v>
      </c>
      <c r="K5" s="285"/>
      <c r="L5" s="103">
        <f>L4/I6</f>
        <v>0.64067127344521224</v>
      </c>
      <c r="M5" s="285" t="s">
        <v>38</v>
      </c>
      <c r="N5" s="285"/>
      <c r="O5" s="105">
        <f>(O4-I4+1)/I6</f>
        <v>1.3603158933859822</v>
      </c>
      <c r="P5" s="224"/>
      <c r="Q5" s="225"/>
      <c r="R5" s="226" t="s">
        <v>152</v>
      </c>
      <c r="S5" s="226"/>
      <c r="T5" s="226"/>
      <c r="U5" s="226"/>
      <c r="V5" s="226"/>
      <c r="W5" s="226"/>
      <c r="X5" s="226"/>
      <c r="Y5" s="227"/>
      <c r="AA5" s="65" t="s">
        <v>37</v>
      </c>
      <c r="AB5" s="146">
        <f>AB3-AB4</f>
        <v>0.35932872655478776</v>
      </c>
      <c r="AC5" s="67"/>
      <c r="AD5" s="66">
        <f>AD3-AD4</f>
        <v>0.75</v>
      </c>
      <c r="AE5" s="67"/>
      <c r="AF5" s="66">
        <v>0</v>
      </c>
      <c r="AH5" s="1"/>
      <c r="AI5" s="1"/>
      <c r="AJ5" s="1"/>
      <c r="AK5" s="1"/>
      <c r="AL5" s="118"/>
      <c r="AM5" s="1"/>
      <c r="AN5" s="1"/>
    </row>
    <row r="6" spans="1:42" s="2" customFormat="1" ht="39.75" customHeight="1" thickBot="1">
      <c r="A6" s="45"/>
      <c r="B6" s="43"/>
      <c r="C6" s="43"/>
      <c r="D6" s="43"/>
      <c r="E6" s="43"/>
      <c r="F6" s="43"/>
      <c r="G6" s="300" t="s">
        <v>24</v>
      </c>
      <c r="H6" s="301"/>
      <c r="I6" s="101">
        <f>I5-I4+1</f>
        <v>1013</v>
      </c>
      <c r="J6" s="235" t="s">
        <v>151</v>
      </c>
      <c r="K6" s="234"/>
      <c r="L6" s="101">
        <f>L4-I6</f>
        <v>-364</v>
      </c>
      <c r="M6" s="233" t="s">
        <v>39</v>
      </c>
      <c r="N6" s="234"/>
      <c r="O6" s="106">
        <f>I5-O4</f>
        <v>-365</v>
      </c>
      <c r="P6" s="280" t="s">
        <v>129</v>
      </c>
      <c r="Q6" s="280"/>
      <c r="R6" s="290" t="s">
        <v>132</v>
      </c>
      <c r="S6" s="290"/>
      <c r="T6" s="280" t="s">
        <v>95</v>
      </c>
      <c r="U6" s="280"/>
      <c r="V6" s="289">
        <v>45256254256</v>
      </c>
      <c r="W6" s="289"/>
      <c r="X6" s="107" t="s">
        <v>96</v>
      </c>
      <c r="Y6" s="110" t="s">
        <v>133</v>
      </c>
      <c r="AA6" s="63" t="s">
        <v>98</v>
      </c>
      <c r="AB6" s="145">
        <f>L5-AB3</f>
        <v>-0.35932872655478776</v>
      </c>
      <c r="AC6" s="62">
        <v>2</v>
      </c>
      <c r="AD6" s="74">
        <f>N5-AD3</f>
        <v>-1</v>
      </c>
      <c r="AE6" s="62">
        <v>2</v>
      </c>
      <c r="AF6" s="61">
        <v>0.12000000000000011</v>
      </c>
      <c r="AH6" s="1"/>
      <c r="AI6" s="1"/>
      <c r="AJ6" s="1"/>
      <c r="AK6" s="1"/>
      <c r="AL6" s="118"/>
      <c r="AM6" s="1"/>
      <c r="AN6" s="1"/>
    </row>
    <row r="7" spans="1:42" s="92" customFormat="1" ht="30.75" customHeight="1" thickBot="1">
      <c r="A7" s="238" t="s">
        <v>31</v>
      </c>
      <c r="B7" s="239"/>
      <c r="C7" s="239"/>
      <c r="D7" s="239"/>
      <c r="E7" s="239"/>
      <c r="F7" s="240"/>
      <c r="G7" s="238" t="s">
        <v>155</v>
      </c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91" t="s">
        <v>34</v>
      </c>
      <c r="S7" s="292"/>
      <c r="T7" s="292"/>
      <c r="U7" s="292"/>
      <c r="V7" s="292"/>
      <c r="W7" s="292"/>
      <c r="X7" s="292"/>
      <c r="Y7" s="293"/>
      <c r="AA7" s="93" t="s">
        <v>10</v>
      </c>
      <c r="AB7" s="147">
        <f>O5-AB3-AB6</f>
        <v>0.71964461994077</v>
      </c>
      <c r="AC7" s="95">
        <v>3</v>
      </c>
      <c r="AD7" s="94">
        <f>Q5-AD3-AD6</f>
        <v>0</v>
      </c>
      <c r="AE7" s="95">
        <v>3</v>
      </c>
      <c r="AF7" s="96">
        <v>0.28000000000000003</v>
      </c>
      <c r="AH7" s="97"/>
      <c r="AI7" s="97"/>
      <c r="AJ7" s="97"/>
      <c r="AK7" s="97"/>
      <c r="AL7" s="119"/>
      <c r="AM7" s="97"/>
      <c r="AN7" s="97"/>
      <c r="AO7" s="98"/>
      <c r="AP7" s="98"/>
    </row>
    <row r="8" spans="1:42" s="2" customFormat="1" ht="57.75" customHeight="1" thickBot="1">
      <c r="A8" s="314" t="s">
        <v>128</v>
      </c>
      <c r="B8" s="315"/>
      <c r="C8" s="316"/>
      <c r="D8" s="88" t="s">
        <v>126</v>
      </c>
      <c r="E8" s="88" t="s">
        <v>127</v>
      </c>
      <c r="F8" s="108" t="s">
        <v>4</v>
      </c>
      <c r="G8" s="230" t="s">
        <v>156</v>
      </c>
      <c r="H8" s="228"/>
      <c r="I8" s="228"/>
      <c r="J8" s="228"/>
      <c r="K8" s="228" t="s">
        <v>157</v>
      </c>
      <c r="L8" s="228"/>
      <c r="M8" s="228"/>
      <c r="N8" s="228"/>
      <c r="O8" s="228" t="s">
        <v>158</v>
      </c>
      <c r="P8" s="228"/>
      <c r="Q8" s="229"/>
      <c r="T8" s="182"/>
      <c r="U8" s="182"/>
      <c r="V8" s="182"/>
      <c r="W8" s="271" t="s">
        <v>251</v>
      </c>
      <c r="X8" s="272"/>
      <c r="Y8" s="273"/>
      <c r="AA8" s="28"/>
      <c r="AB8" s="28"/>
      <c r="AC8" s="28"/>
      <c r="AD8" s="28"/>
      <c r="AE8" s="28"/>
      <c r="AF8" s="28"/>
      <c r="AG8" s="28"/>
      <c r="AH8" s="1"/>
      <c r="AI8" s="1"/>
      <c r="AJ8" s="1"/>
      <c r="AK8" s="1"/>
      <c r="AL8" s="118"/>
      <c r="AM8" s="1"/>
      <c r="AN8" s="1"/>
    </row>
    <row r="9" spans="1:42" s="32" customFormat="1" ht="48.75" customHeight="1" thickBot="1">
      <c r="A9" s="241" t="str">
        <f>Milestones!G3</f>
        <v>Project Start</v>
      </c>
      <c r="B9" s="242"/>
      <c r="C9" s="243"/>
      <c r="D9" s="89">
        <f>Milestones!H3</f>
        <v>42767</v>
      </c>
      <c r="E9" s="90">
        <f>D9+75</f>
        <v>42842</v>
      </c>
      <c r="F9" s="109">
        <f t="shared" ref="F9:F15" si="0">D9-E9</f>
        <v>-75</v>
      </c>
      <c r="G9" s="262"/>
      <c r="H9" s="263"/>
      <c r="I9" s="263"/>
      <c r="J9" s="264"/>
      <c r="K9" s="244"/>
      <c r="L9" s="245"/>
      <c r="M9" s="245"/>
      <c r="N9" s="246"/>
      <c r="O9" s="253"/>
      <c r="P9" s="254"/>
      <c r="Q9" s="255"/>
      <c r="R9" s="2"/>
      <c r="S9" s="2"/>
      <c r="T9" s="183"/>
      <c r="U9" s="183"/>
      <c r="V9" s="183"/>
      <c r="W9" s="185" t="s">
        <v>23</v>
      </c>
      <c r="X9" s="219">
        <v>1422500</v>
      </c>
      <c r="Y9" s="220"/>
      <c r="Z9" s="2"/>
      <c r="AB9" s="149"/>
      <c r="AH9" s="1"/>
      <c r="AI9" s="1"/>
      <c r="AJ9" s="1"/>
      <c r="AK9" s="1"/>
      <c r="AL9" s="118"/>
      <c r="AM9" s="1"/>
      <c r="AN9" s="1"/>
      <c r="AO9" s="1"/>
      <c r="AP9" s="1"/>
    </row>
    <row r="10" spans="1:42" s="32" customFormat="1" ht="48.75" customHeight="1" thickBot="1">
      <c r="A10" s="241" t="str">
        <f>Milestones!G4</f>
        <v>Mobilization Completion</v>
      </c>
      <c r="B10" s="242"/>
      <c r="C10" s="243"/>
      <c r="D10" s="89">
        <f>Milestones!H4</f>
        <v>43677</v>
      </c>
      <c r="E10" s="90">
        <f>D10+82</f>
        <v>43759</v>
      </c>
      <c r="F10" s="109">
        <f t="shared" si="0"/>
        <v>-82</v>
      </c>
      <c r="G10" s="265"/>
      <c r="H10" s="266"/>
      <c r="I10" s="266"/>
      <c r="J10" s="267"/>
      <c r="K10" s="247"/>
      <c r="L10" s="248"/>
      <c r="M10" s="248"/>
      <c r="N10" s="249"/>
      <c r="O10" s="256"/>
      <c r="P10" s="257"/>
      <c r="Q10" s="258"/>
      <c r="R10" s="3"/>
      <c r="S10" s="3"/>
      <c r="T10" s="183"/>
      <c r="U10" s="183"/>
      <c r="V10" s="183"/>
      <c r="W10" s="186" t="s">
        <v>242</v>
      </c>
      <c r="X10" s="219">
        <v>0</v>
      </c>
      <c r="Y10" s="220"/>
      <c r="Z10" s="5"/>
      <c r="AK10" s="82"/>
      <c r="AL10" s="120"/>
    </row>
    <row r="11" spans="1:42" s="32" customFormat="1" ht="48.75" customHeight="1" thickBot="1">
      <c r="A11" s="241" t="str">
        <f>Milestones!G5</f>
        <v>Highway Design Completion</v>
      </c>
      <c r="B11" s="242"/>
      <c r="C11" s="243"/>
      <c r="D11" s="89">
        <f>Milestones!H5</f>
        <v>43646</v>
      </c>
      <c r="E11" s="90">
        <f>D11+88</f>
        <v>43734</v>
      </c>
      <c r="F11" s="109">
        <f t="shared" si="0"/>
        <v>-88</v>
      </c>
      <c r="G11" s="268"/>
      <c r="H11" s="269"/>
      <c r="I11" s="269"/>
      <c r="J11" s="270"/>
      <c r="K11" s="250"/>
      <c r="L11" s="251"/>
      <c r="M11" s="251"/>
      <c r="N11" s="252"/>
      <c r="O11" s="259"/>
      <c r="P11" s="260"/>
      <c r="Q11" s="261"/>
      <c r="R11" s="3"/>
      <c r="S11" s="3"/>
      <c r="T11" s="183"/>
      <c r="U11" s="183"/>
      <c r="V11" s="183"/>
      <c r="W11" s="186" t="s">
        <v>243</v>
      </c>
      <c r="X11" s="219">
        <v>1</v>
      </c>
      <c r="Y11" s="220"/>
      <c r="Z11" s="5"/>
      <c r="AK11" s="82"/>
      <c r="AL11" s="120"/>
    </row>
    <row r="12" spans="1:42" s="32" customFormat="1" ht="48.75" customHeight="1" thickBot="1">
      <c r="A12" s="241" t="str">
        <f>Milestones!G6</f>
        <v>Structural Design Completion</v>
      </c>
      <c r="B12" s="242"/>
      <c r="C12" s="243"/>
      <c r="D12" s="89">
        <f>Milestones!H6</f>
        <v>43312</v>
      </c>
      <c r="E12" s="90">
        <f>D12+90</f>
        <v>43402</v>
      </c>
      <c r="F12" s="91">
        <f t="shared" si="0"/>
        <v>-90</v>
      </c>
      <c r="G12" s="238" t="s">
        <v>12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3"/>
      <c r="S12" s="3"/>
      <c r="T12" s="183"/>
      <c r="U12" s="183"/>
      <c r="V12" s="183"/>
      <c r="W12" s="186" t="s">
        <v>244</v>
      </c>
      <c r="X12" s="219">
        <v>0</v>
      </c>
      <c r="Y12" s="220"/>
      <c r="Z12" s="5"/>
      <c r="AB12" s="149"/>
      <c r="AK12" s="82"/>
      <c r="AL12" s="120"/>
    </row>
    <row r="13" spans="1:42" s="32" customFormat="1" ht="48.75" customHeight="1" thickBot="1">
      <c r="A13" s="241" t="str">
        <f>Milestones!G7</f>
        <v>Road Pavement Completion</v>
      </c>
      <c r="B13" s="242"/>
      <c r="C13" s="243"/>
      <c r="D13" s="89">
        <f>Milestones!H7</f>
        <v>43660</v>
      </c>
      <c r="E13" s="90">
        <f>D13+85</f>
        <v>43745</v>
      </c>
      <c r="F13" s="91">
        <f t="shared" si="0"/>
        <v>-85</v>
      </c>
      <c r="O13" s="38"/>
      <c r="P13" s="3"/>
      <c r="Q13" s="3"/>
      <c r="R13" s="3"/>
      <c r="S13" s="3"/>
      <c r="T13" s="183"/>
      <c r="U13" s="183"/>
      <c r="V13" s="183"/>
      <c r="W13" s="186" t="s">
        <v>245</v>
      </c>
      <c r="X13" s="219">
        <v>5</v>
      </c>
      <c r="Y13" s="220"/>
      <c r="Z13" s="5"/>
      <c r="AB13" s="149"/>
      <c r="AK13" s="82"/>
      <c r="AL13" s="120"/>
    </row>
    <row r="14" spans="1:42" s="32" customFormat="1" ht="48.75" customHeight="1" thickBot="1">
      <c r="A14" s="241" t="str">
        <f>Milestones!G8</f>
        <v>Structures Completion</v>
      </c>
      <c r="B14" s="242"/>
      <c r="C14" s="243"/>
      <c r="D14" s="89">
        <f>Milestones!H8</f>
        <v>43670</v>
      </c>
      <c r="E14" s="90">
        <f>D14+95</f>
        <v>43765</v>
      </c>
      <c r="F14" s="91">
        <f t="shared" si="0"/>
        <v>-95</v>
      </c>
      <c r="O14" s="38"/>
      <c r="P14" s="3"/>
      <c r="Q14" s="3"/>
      <c r="R14" s="3"/>
      <c r="S14" s="3"/>
      <c r="T14" s="183"/>
      <c r="U14" s="183"/>
      <c r="V14" s="183"/>
      <c r="W14" s="186" t="s">
        <v>246</v>
      </c>
      <c r="X14" s="219">
        <v>0</v>
      </c>
      <c r="Y14" s="220"/>
      <c r="Z14" s="5"/>
      <c r="AB14" s="149"/>
      <c r="AD14" s="211" t="s">
        <v>109</v>
      </c>
      <c r="AE14" s="212">
        <f>AD25</f>
        <v>0.45599706074461138</v>
      </c>
      <c r="AK14" s="82"/>
      <c r="AL14" s="120"/>
    </row>
    <row r="15" spans="1:42" s="32" customFormat="1" ht="48.75" customHeight="1" thickBot="1">
      <c r="A15" s="217" t="str">
        <f>Milestones!G9</f>
        <v>Project Completion</v>
      </c>
      <c r="B15" s="215"/>
      <c r="C15" s="215"/>
      <c r="D15" s="213">
        <f>Milestones!H9</f>
        <v>43677</v>
      </c>
      <c r="E15" s="214">
        <f>D15+102</f>
        <v>43779</v>
      </c>
      <c r="F15" s="216">
        <f t="shared" si="0"/>
        <v>-102</v>
      </c>
      <c r="O15" s="38"/>
      <c r="P15" s="3"/>
      <c r="Q15" s="3"/>
      <c r="R15" s="187"/>
      <c r="S15" s="187"/>
      <c r="T15" s="188"/>
      <c r="U15" s="188"/>
      <c r="V15" s="188"/>
      <c r="W15" s="186" t="s">
        <v>247</v>
      </c>
      <c r="X15" s="219">
        <v>3</v>
      </c>
      <c r="Y15" s="220"/>
      <c r="Z15" s="5"/>
      <c r="AB15" s="149"/>
      <c r="AD15" s="209" t="s">
        <v>2</v>
      </c>
      <c r="AE15" s="210">
        <f>AE25</f>
        <v>0.23175107772697584</v>
      </c>
      <c r="AK15" s="82"/>
      <c r="AL15" s="120"/>
    </row>
    <row r="16" spans="1:42" s="32" customFormat="1" ht="48.75" customHeight="1" thickBot="1">
      <c r="A16" s="317" t="s">
        <v>33</v>
      </c>
      <c r="B16" s="318"/>
      <c r="C16" s="318"/>
      <c r="D16" s="318"/>
      <c r="E16" s="318"/>
      <c r="F16" s="318"/>
      <c r="N16" s="33"/>
      <c r="O16" s="34"/>
      <c r="P16" s="3"/>
      <c r="Q16" s="3"/>
      <c r="R16" s="187"/>
      <c r="S16" s="187"/>
      <c r="T16" s="188"/>
      <c r="U16" s="188"/>
      <c r="V16" s="188"/>
      <c r="W16" s="186" t="s">
        <v>248</v>
      </c>
      <c r="X16" s="219">
        <v>251</v>
      </c>
      <c r="Y16" s="220"/>
      <c r="Z16" s="5"/>
      <c r="AB16" s="149"/>
      <c r="AK16" s="82"/>
      <c r="AL16" s="120"/>
    </row>
    <row r="17" spans="1:1313" s="5" customFormat="1" ht="30.75" customHeight="1" thickBot="1">
      <c r="A17" s="3"/>
      <c r="B17" s="3"/>
      <c r="C17" s="3"/>
      <c r="D17" s="3"/>
      <c r="E17" s="3"/>
      <c r="F17" s="3"/>
      <c r="G17" s="32"/>
      <c r="H17" s="32"/>
      <c r="I17" s="32"/>
      <c r="J17" s="32"/>
      <c r="P17" s="3"/>
      <c r="Q17" s="3"/>
      <c r="R17" s="187"/>
      <c r="S17" s="187"/>
      <c r="T17" s="188"/>
      <c r="U17" s="188"/>
      <c r="V17" s="188"/>
      <c r="W17" s="186" t="s">
        <v>17</v>
      </c>
      <c r="X17" s="219" t="s">
        <v>99</v>
      </c>
      <c r="Y17" s="220"/>
      <c r="Z17" s="32"/>
      <c r="AA17" s="32"/>
      <c r="AB17" s="150"/>
      <c r="AK17" s="80"/>
      <c r="AL17" s="121"/>
      <c r="DY17" s="1"/>
      <c r="DZ17" s="1"/>
      <c r="EA17" s="1"/>
      <c r="EB17" s="1"/>
      <c r="EC17" s="1"/>
      <c r="ED17" s="2"/>
      <c r="EE17" s="2"/>
    </row>
    <row r="18" spans="1:1313" s="2" customFormat="1" ht="21" customHeight="1" thickBot="1">
      <c r="A18" s="3"/>
      <c r="B18" s="3"/>
      <c r="C18" s="3"/>
      <c r="D18" s="3"/>
      <c r="E18" s="3"/>
      <c r="F18" s="3"/>
      <c r="G18" s="32"/>
      <c r="H18" s="32"/>
      <c r="I18" s="32"/>
      <c r="J18" s="32"/>
      <c r="P18" s="1"/>
      <c r="Q18" s="1"/>
      <c r="R18" s="64"/>
      <c r="S18" s="64"/>
      <c r="T18" s="188"/>
      <c r="U18" s="188"/>
      <c r="V18" s="188"/>
      <c r="W18" s="183"/>
      <c r="X18" s="183"/>
      <c r="Y18" s="183"/>
      <c r="Z18" s="32"/>
      <c r="AB18" s="148"/>
      <c r="AK18" s="81"/>
      <c r="AL18" s="122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</row>
    <row r="19" spans="1:1313" s="3" customFormat="1" ht="21.75" customHeight="1" thickBot="1">
      <c r="G19" s="32"/>
      <c r="H19" s="32"/>
      <c r="I19" s="32"/>
      <c r="J19" s="32"/>
      <c r="P19" s="1"/>
      <c r="Q19" s="1"/>
      <c r="R19" s="64"/>
      <c r="S19" s="64"/>
      <c r="T19" s="64"/>
      <c r="U19" s="64"/>
      <c r="V19" s="64"/>
      <c r="W19" s="1"/>
      <c r="X19" s="1"/>
      <c r="Y19" s="1"/>
      <c r="Z19" s="32"/>
      <c r="AB19" s="329" t="s">
        <v>238</v>
      </c>
      <c r="AC19" s="329"/>
      <c r="AD19" s="329" t="s">
        <v>239</v>
      </c>
      <c r="AE19" s="329"/>
      <c r="AF19" s="328" t="s">
        <v>9</v>
      </c>
      <c r="AG19" s="328"/>
      <c r="AH19" s="328" t="s">
        <v>20</v>
      </c>
      <c r="AI19" s="328"/>
      <c r="AJ19" s="330" t="s">
        <v>110</v>
      </c>
      <c r="AK19" s="331"/>
      <c r="AL19" s="326" t="s">
        <v>240</v>
      </c>
    </row>
    <row r="20" spans="1:1313" ht="21.75" customHeight="1" thickBot="1">
      <c r="G20" s="32"/>
      <c r="H20" s="32"/>
      <c r="I20" s="32"/>
      <c r="J20" s="32"/>
      <c r="R20" s="64"/>
      <c r="S20" s="64"/>
      <c r="T20" s="64"/>
      <c r="U20" s="64"/>
      <c r="V20" s="64"/>
      <c r="AA20" s="113"/>
      <c r="AB20" s="153" t="s">
        <v>109</v>
      </c>
      <c r="AC20" s="154" t="s">
        <v>2</v>
      </c>
      <c r="AD20" s="154" t="s">
        <v>109</v>
      </c>
      <c r="AE20" s="154" t="s">
        <v>2</v>
      </c>
      <c r="AF20" s="154" t="s">
        <v>109</v>
      </c>
      <c r="AG20" s="154" t="s">
        <v>2</v>
      </c>
      <c r="AH20" s="154" t="s">
        <v>109</v>
      </c>
      <c r="AI20" s="154" t="s">
        <v>2</v>
      </c>
      <c r="AJ20" s="332"/>
      <c r="AK20" s="333"/>
      <c r="AL20" s="327"/>
      <c r="AM20" s="3"/>
    </row>
    <row r="21" spans="1:1313" ht="21.75" customHeight="1" thickBot="1">
      <c r="R21" s="291" t="s">
        <v>249</v>
      </c>
      <c r="S21" s="292"/>
      <c r="T21" s="292"/>
      <c r="U21" s="292"/>
      <c r="V21" s="292"/>
      <c r="W21" s="292"/>
      <c r="X21" s="292"/>
      <c r="Y21" s="293"/>
      <c r="AA21" s="111" t="s">
        <v>195</v>
      </c>
      <c r="AB21" s="155">
        <f>AB29</f>
        <v>1190001</v>
      </c>
      <c r="AC21" s="155">
        <f>AC29</f>
        <v>1190001</v>
      </c>
      <c r="AD21" s="156">
        <f t="shared" ref="AD21:AD25" si="1">AB21/$AL$38</f>
        <v>3.8863520574787723E-2</v>
      </c>
      <c r="AE21" s="156">
        <f t="shared" ref="AE21:AE25" si="2">AC21/$AL$38</f>
        <v>3.8863520574787723E-2</v>
      </c>
      <c r="AF21" s="156"/>
      <c r="AG21" s="156"/>
      <c r="AH21" s="156">
        <f t="shared" ref="AH21:AH25" si="3">AD21-AF21</f>
        <v>3.8863520574787723E-2</v>
      </c>
      <c r="AI21" s="156">
        <f t="shared" ref="AI21:AI25" si="4">AE21-AG21</f>
        <v>3.8863520574787723E-2</v>
      </c>
      <c r="AJ21" s="156">
        <f>AK21/$AK$25</f>
        <v>5.4609701252810797E-2</v>
      </c>
      <c r="AK21" s="157">
        <v>1.7</v>
      </c>
      <c r="AL21" s="158">
        <f>AK21*1000000</f>
        <v>1700000</v>
      </c>
      <c r="AM21" s="3"/>
    </row>
    <row r="22" spans="1:1313" ht="21.75" customHeight="1">
      <c r="W22" s="2"/>
      <c r="X22" s="2"/>
      <c r="Y22" s="2"/>
      <c r="AA22" s="111" t="s">
        <v>159</v>
      </c>
      <c r="AB22" s="155">
        <f>AB30</f>
        <v>4999995</v>
      </c>
      <c r="AC22" s="155">
        <f>AC30</f>
        <v>4999995</v>
      </c>
      <c r="AD22" s="156">
        <f t="shared" si="1"/>
        <v>0.16329180274330504</v>
      </c>
      <c r="AE22" s="156">
        <f t="shared" si="2"/>
        <v>0.16329180274330504</v>
      </c>
      <c r="AF22" s="156"/>
      <c r="AG22" s="156"/>
      <c r="AH22" s="156">
        <f t="shared" si="3"/>
        <v>0.16329180274330504</v>
      </c>
      <c r="AI22" s="156">
        <f t="shared" si="4"/>
        <v>0.16329180274330504</v>
      </c>
      <c r="AJ22" s="156">
        <f t="shared" ref="AJ22:AJ25" si="5">AK22/$AK$25</f>
        <v>0.16061676839061997</v>
      </c>
      <c r="AK22" s="157">
        <v>5</v>
      </c>
      <c r="AL22" s="158">
        <f t="shared" ref="AL22:AL24" si="6">AK22*1000000</f>
        <v>5000000</v>
      </c>
      <c r="AM22" s="3"/>
    </row>
    <row r="23" spans="1:1313" ht="21.75" customHeight="1">
      <c r="R23" s="2"/>
      <c r="S23" s="2"/>
      <c r="T23" s="2"/>
      <c r="U23" s="2"/>
      <c r="V23" s="2"/>
      <c r="AA23" s="111" t="s">
        <v>199</v>
      </c>
      <c r="AB23" s="155">
        <f>SUM(AB31:AB36)</f>
        <v>7772634</v>
      </c>
      <c r="AC23" s="155">
        <f>SUM(AC31:AC36)</f>
        <v>906222</v>
      </c>
      <c r="AD23" s="156">
        <f t="shared" si="1"/>
        <v>0.25384173742651861</v>
      </c>
      <c r="AE23" s="156">
        <f t="shared" si="2"/>
        <v>2.9595754408883082E-2</v>
      </c>
      <c r="AF23" s="156"/>
      <c r="AG23" s="156"/>
      <c r="AH23" s="156">
        <f t="shared" si="3"/>
        <v>0.25384173742651861</v>
      </c>
      <c r="AI23" s="156">
        <f t="shared" si="4"/>
        <v>2.9595754408883082E-2</v>
      </c>
      <c r="AJ23" s="156">
        <f t="shared" si="5"/>
        <v>0.75265017667844525</v>
      </c>
      <c r="AK23" s="157">
        <f>SUM(AK31:AK36)</f>
        <v>23.43</v>
      </c>
      <c r="AL23" s="158">
        <f t="shared" si="6"/>
        <v>23430000</v>
      </c>
      <c r="AM23" s="3"/>
    </row>
    <row r="24" spans="1:1313" ht="21.75" customHeight="1">
      <c r="A24" s="19"/>
      <c r="B24" s="19"/>
      <c r="C24" s="19"/>
      <c r="D24" s="19"/>
      <c r="E24" s="19"/>
      <c r="F24" s="19"/>
      <c r="W24" s="18"/>
      <c r="X24" s="18"/>
      <c r="Y24" s="18"/>
      <c r="AA24" s="111" t="s">
        <v>194</v>
      </c>
      <c r="AB24" s="155">
        <f>AB37</f>
        <v>0</v>
      </c>
      <c r="AC24" s="155">
        <f>AC37</f>
        <v>0</v>
      </c>
      <c r="AD24" s="156">
        <f t="shared" si="1"/>
        <v>0</v>
      </c>
      <c r="AE24" s="156">
        <f t="shared" si="2"/>
        <v>0</v>
      </c>
      <c r="AF24" s="156"/>
      <c r="AG24" s="156"/>
      <c r="AH24" s="156">
        <f t="shared" si="3"/>
        <v>0</v>
      </c>
      <c r="AI24" s="156">
        <f t="shared" si="4"/>
        <v>0</v>
      </c>
      <c r="AJ24" s="156">
        <f t="shared" si="5"/>
        <v>3.2123353678123995E-2</v>
      </c>
      <c r="AK24" s="157">
        <v>1</v>
      </c>
      <c r="AL24" s="158">
        <f t="shared" si="6"/>
        <v>1000000</v>
      </c>
      <c r="AM24" s="3"/>
    </row>
    <row r="25" spans="1:1313" s="19" customFormat="1" ht="21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8"/>
      <c r="S25" s="18"/>
      <c r="T25" s="18"/>
      <c r="U25" s="18"/>
      <c r="V25" s="18"/>
      <c r="W25" s="2"/>
      <c r="X25" s="2"/>
      <c r="Y25" s="2"/>
      <c r="Z25" s="1"/>
      <c r="AA25" s="112" t="s">
        <v>3</v>
      </c>
      <c r="AB25" s="159">
        <f>SUM(AB21:AB24)</f>
        <v>13962630</v>
      </c>
      <c r="AC25" s="159">
        <f>SUM(AC21:AC24)</f>
        <v>7096218</v>
      </c>
      <c r="AD25" s="160">
        <f t="shared" si="1"/>
        <v>0.45599706074461138</v>
      </c>
      <c r="AE25" s="160">
        <f t="shared" si="2"/>
        <v>0.23175107772697584</v>
      </c>
      <c r="AF25" s="160"/>
      <c r="AG25" s="160"/>
      <c r="AH25" s="160">
        <f t="shared" si="3"/>
        <v>0.45599706074461138</v>
      </c>
      <c r="AI25" s="160">
        <f t="shared" si="4"/>
        <v>0.23175107772697584</v>
      </c>
      <c r="AJ25" s="160">
        <f t="shared" si="5"/>
        <v>1</v>
      </c>
      <c r="AK25" s="161">
        <f>SUM(AK21:AK24)</f>
        <v>31.13</v>
      </c>
      <c r="AL25" s="162">
        <f>SUM(AL21:AL24)</f>
        <v>31130000</v>
      </c>
      <c r="AM25" s="16"/>
    </row>
    <row r="26" spans="1:1313" ht="21.75" customHeight="1" thickBot="1">
      <c r="R26" s="2"/>
      <c r="S26" s="2"/>
      <c r="T26" s="2"/>
      <c r="U26" s="2"/>
      <c r="V26" s="2"/>
      <c r="W26" s="2"/>
      <c r="X26" s="2"/>
      <c r="Y26" s="2"/>
      <c r="AG26" s="11"/>
      <c r="AM26" s="13"/>
    </row>
    <row r="27" spans="1:1313" ht="21.75" customHeight="1" thickBot="1">
      <c r="R27" s="2"/>
      <c r="S27" s="2"/>
      <c r="T27" s="2"/>
      <c r="U27" s="2"/>
      <c r="V27" s="2"/>
      <c r="W27" s="2"/>
      <c r="X27" s="2"/>
      <c r="Y27" s="2"/>
      <c r="AA27" s="3"/>
      <c r="AB27" s="329" t="s">
        <v>238</v>
      </c>
      <c r="AC27" s="329"/>
      <c r="AD27" s="329" t="s">
        <v>239</v>
      </c>
      <c r="AE27" s="329"/>
      <c r="AF27" s="328" t="s">
        <v>9</v>
      </c>
      <c r="AG27" s="328"/>
      <c r="AH27" s="328" t="s">
        <v>20</v>
      </c>
      <c r="AI27" s="328"/>
      <c r="AJ27" s="330" t="s">
        <v>110</v>
      </c>
      <c r="AK27" s="331"/>
      <c r="AL27" s="326" t="s">
        <v>240</v>
      </c>
      <c r="AM27" s="15"/>
    </row>
    <row r="28" spans="1:1313" ht="21.75" customHeight="1" thickBot="1">
      <c r="A28" s="1">
        <f>KPI!AB1</f>
        <v>0</v>
      </c>
      <c r="R28" s="2"/>
      <c r="S28" s="2"/>
      <c r="T28" s="2"/>
      <c r="U28" s="2"/>
      <c r="V28" s="2"/>
      <c r="W28" s="2"/>
      <c r="X28" s="2"/>
      <c r="Y28" s="2"/>
      <c r="AA28" s="113"/>
      <c r="AB28" s="153" t="s">
        <v>109</v>
      </c>
      <c r="AC28" s="154" t="s">
        <v>2</v>
      </c>
      <c r="AD28" s="154" t="s">
        <v>109</v>
      </c>
      <c r="AE28" s="154" t="s">
        <v>2</v>
      </c>
      <c r="AF28" s="154" t="s">
        <v>109</v>
      </c>
      <c r="AG28" s="154" t="s">
        <v>2</v>
      </c>
      <c r="AH28" s="154" t="s">
        <v>109</v>
      </c>
      <c r="AI28" s="154" t="s">
        <v>2</v>
      </c>
      <c r="AJ28" s="332"/>
      <c r="AK28" s="333"/>
      <c r="AL28" s="327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</row>
    <row r="29" spans="1:1313" ht="21.75" customHeight="1">
      <c r="R29" s="2"/>
      <c r="S29" s="2"/>
      <c r="T29" s="2"/>
      <c r="U29" s="2"/>
      <c r="V29" s="2"/>
      <c r="W29" s="2"/>
      <c r="X29" s="2"/>
      <c r="Y29" s="2"/>
      <c r="AA29" s="111" t="s">
        <v>195</v>
      </c>
      <c r="AB29" s="155">
        <f>HLOOKUP($O$2,Baseline!$D$25:$AG$43,3,TRUE)+HLOOKUP($O$2,Baseline!$D$25:$AG$43,7,TRUE)</f>
        <v>1190001</v>
      </c>
      <c r="AC29" s="155">
        <f>HLOOKUP($O$2,Actual!$D$25:$AG$43,3,TRUE)+HLOOKUP($O$2,Actual!$D$25:$AG$43,7,TRUE)</f>
        <v>1190001</v>
      </c>
      <c r="AD29" s="156">
        <f>AB29/$AL$38</f>
        <v>3.8863520574787723E-2</v>
      </c>
      <c r="AE29" s="156">
        <f>AC29/$AL$38</f>
        <v>3.8863520574787723E-2</v>
      </c>
      <c r="AF29" s="163"/>
      <c r="AG29" s="163"/>
      <c r="AH29" s="156">
        <f>AD29-AF29</f>
        <v>3.8863520574787723E-2</v>
      </c>
      <c r="AI29" s="156">
        <f>AE29-AG29</f>
        <v>3.8863520574787723E-2</v>
      </c>
      <c r="AJ29" s="156">
        <f>AK29/$AK$38</f>
        <v>3.8863487916394511E-2</v>
      </c>
      <c r="AK29" s="157">
        <v>1.19</v>
      </c>
      <c r="AL29" s="158">
        <f>AK29*1000000</f>
        <v>1190000</v>
      </c>
      <c r="AM29" s="13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1313" ht="21.75" customHeight="1">
      <c r="R30" s="2"/>
      <c r="S30" s="2"/>
      <c r="T30" s="2"/>
      <c r="U30" s="2"/>
      <c r="V30" s="2"/>
      <c r="W30" s="2"/>
      <c r="X30" s="2"/>
      <c r="Y30" s="2"/>
      <c r="AA30" s="111" t="s">
        <v>159</v>
      </c>
      <c r="AB30" s="155">
        <f>HLOOKUP($O$2,Baseline!$D$25:$AG$43,5,TRUE)+HLOOKUP($O$2,Baseline!$D$25:$AG$43,6,TRUE)</f>
        <v>4999995</v>
      </c>
      <c r="AC30" s="155">
        <f>HLOOKUP($O$2,Actual!$D$25:$AG$43,5,TRUE)+HLOOKUP($O$2,Actual!$D$25:$AG$43,6,TRUE)</f>
        <v>4999995</v>
      </c>
      <c r="AD30" s="156">
        <f t="shared" ref="AD30:AE37" si="7">AB30/$AL$38</f>
        <v>0.16329180274330504</v>
      </c>
      <c r="AE30" s="156">
        <f t="shared" si="7"/>
        <v>0.16329180274330504</v>
      </c>
      <c r="AF30" s="163"/>
      <c r="AG30" s="163"/>
      <c r="AH30" s="156">
        <f t="shared" ref="AH30:AI37" si="8">AD30-AF30</f>
        <v>0.16329180274330504</v>
      </c>
      <c r="AI30" s="156">
        <f t="shared" si="8"/>
        <v>0.16329180274330504</v>
      </c>
      <c r="AJ30" s="156">
        <f t="shared" ref="AJ30:AJ37" si="9">AK30/$AK$38</f>
        <v>0.16329196603527105</v>
      </c>
      <c r="AK30" s="157">
        <v>5</v>
      </c>
      <c r="AL30" s="158">
        <f t="shared" ref="AL30:AL36" si="10">AK30*1000000</f>
        <v>5000000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</row>
    <row r="31" spans="1:1313" ht="21.75" customHeight="1">
      <c r="R31" s="2"/>
      <c r="S31" s="2"/>
      <c r="T31" s="2"/>
      <c r="U31" s="2"/>
      <c r="V31" s="2"/>
      <c r="AA31" s="114" t="s">
        <v>103</v>
      </c>
      <c r="AB31" s="164">
        <f>HLOOKUP($O$2,Baseline!$D$25:$AG$43,8,TRUE)+HLOOKUP($O$2,Baseline!$D$25:$AG$43,9,TRUE)+HLOOKUP($O$2,Baseline!$D$25:$AG$43,10,TRUE)</f>
        <v>2727473</v>
      </c>
      <c r="AC31" s="164">
        <f>HLOOKUP($O$2,Actual!$D$25:$AG$43,8,TRUE)+HLOOKUP($O$2,Actual!$D$25:$AG$43,9,TRUE)+HLOOKUP($O$2,Actual!$D$25:$AG$43,10,TRUE)</f>
        <v>459019</v>
      </c>
      <c r="AD31" s="165">
        <f t="shared" si="7"/>
        <v>8.9074885695623773E-2</v>
      </c>
      <c r="AE31" s="165">
        <f t="shared" si="7"/>
        <v>1.4990822991508819E-2</v>
      </c>
      <c r="AF31" s="171"/>
      <c r="AG31" s="171"/>
      <c r="AH31" s="165">
        <f t="shared" si="8"/>
        <v>8.9074885695623773E-2</v>
      </c>
      <c r="AI31" s="165">
        <f t="shared" si="8"/>
        <v>1.4990822991508819E-2</v>
      </c>
      <c r="AJ31" s="165">
        <f t="shared" si="9"/>
        <v>0.19595035924232526</v>
      </c>
      <c r="AK31" s="166">
        <v>6</v>
      </c>
      <c r="AL31" s="172">
        <f t="shared" si="10"/>
        <v>6000000</v>
      </c>
      <c r="AM31" s="30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</row>
    <row r="32" spans="1:1313" ht="21.75" customHeight="1" thickBot="1">
      <c r="AA32" s="114" t="s">
        <v>104</v>
      </c>
      <c r="AB32" s="164">
        <f>HLOOKUP($O$2,Baseline!$D$25:$AG$43,11,TRUE)</f>
        <v>410919</v>
      </c>
      <c r="AC32" s="164">
        <f>HLOOKUP($O$2,Actual!$D$25:$AG$43,11,TRUE)</f>
        <v>60345</v>
      </c>
      <c r="AD32" s="165">
        <f t="shared" si="7"/>
        <v>1.341995427824951E-2</v>
      </c>
      <c r="AE32" s="165">
        <f t="shared" si="7"/>
        <v>1.9707707380796865E-3</v>
      </c>
      <c r="AF32" s="171"/>
      <c r="AG32" s="171"/>
      <c r="AH32" s="165">
        <f t="shared" si="8"/>
        <v>1.341995427824951E-2</v>
      </c>
      <c r="AI32" s="165">
        <f t="shared" si="8"/>
        <v>1.9707707380796865E-3</v>
      </c>
      <c r="AJ32" s="165">
        <f t="shared" si="9"/>
        <v>3.2658393207054215E-2</v>
      </c>
      <c r="AK32" s="166">
        <v>1</v>
      </c>
      <c r="AL32" s="172">
        <f t="shared" si="10"/>
        <v>1000000</v>
      </c>
      <c r="AM32" s="30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1:215" ht="21.75" customHeight="1" thickBot="1">
      <c r="A33" s="236" t="s">
        <v>135</v>
      </c>
      <c r="B33" s="237"/>
      <c r="C33" s="237"/>
      <c r="D33" s="237"/>
      <c r="E33" s="237"/>
      <c r="F33" s="237"/>
      <c r="G33" s="237"/>
      <c r="H33" s="237"/>
      <c r="I33" s="237"/>
      <c r="J33" s="76"/>
      <c r="K33" s="76"/>
      <c r="L33" s="76"/>
      <c r="M33" s="76"/>
      <c r="N33" s="76"/>
      <c r="O33" s="76"/>
      <c r="P33" s="77"/>
      <c r="Q33" s="238" t="s">
        <v>119</v>
      </c>
      <c r="R33" s="239"/>
      <c r="S33" s="239"/>
      <c r="T33" s="239"/>
      <c r="U33" s="239"/>
      <c r="V33" s="239"/>
      <c r="W33" s="239"/>
      <c r="X33" s="239"/>
      <c r="Y33" s="240"/>
      <c r="AA33" s="114" t="s">
        <v>105</v>
      </c>
      <c r="AB33" s="164">
        <f>HLOOKUP($O$2,Baseline!$D$25:$AG$43,12,TRUE)</f>
        <v>558358</v>
      </c>
      <c r="AC33" s="164">
        <f>HLOOKUP($O$2,Actual!$D$25:$AG$43,12,TRUE)</f>
        <v>57478</v>
      </c>
      <c r="AD33" s="165">
        <f t="shared" si="7"/>
        <v>1.8235075114304375E-2</v>
      </c>
      <c r="AE33" s="165">
        <f t="shared" si="7"/>
        <v>1.8771391247550621E-3</v>
      </c>
      <c r="AF33" s="171"/>
      <c r="AG33" s="171"/>
      <c r="AH33" s="165">
        <f t="shared" si="8"/>
        <v>1.8235075114304375E-2</v>
      </c>
      <c r="AI33" s="165">
        <f t="shared" si="8"/>
        <v>1.8771391247550621E-3</v>
      </c>
      <c r="AJ33" s="165">
        <f t="shared" si="9"/>
        <v>4.5721750489875895E-2</v>
      </c>
      <c r="AK33" s="166">
        <v>1.4</v>
      </c>
      <c r="AL33" s="172">
        <f t="shared" si="10"/>
        <v>1400000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</row>
    <row r="34" spans="1:215" s="4" customFormat="1" ht="28.9" customHeight="1" thickBot="1">
      <c r="A34" s="281" t="s">
        <v>97</v>
      </c>
      <c r="B34" s="282"/>
      <c r="C34" s="282"/>
      <c r="D34" s="334" t="s">
        <v>154</v>
      </c>
      <c r="E34" s="334" t="s">
        <v>0</v>
      </c>
      <c r="F34" s="336" t="s">
        <v>250</v>
      </c>
      <c r="G34" s="338" t="s">
        <v>19</v>
      </c>
      <c r="H34" s="338" t="s">
        <v>21</v>
      </c>
      <c r="I34" s="338" t="s">
        <v>1</v>
      </c>
      <c r="J34" s="35"/>
      <c r="K34" s="231"/>
      <c r="L34" s="231"/>
      <c r="M34" s="231"/>
      <c r="N34" s="37"/>
      <c r="O34" s="37"/>
      <c r="P34" s="36"/>
      <c r="Q34" s="232" t="s">
        <v>122</v>
      </c>
      <c r="R34" s="232"/>
      <c r="S34" s="232"/>
      <c r="T34" s="232"/>
      <c r="U34" s="86" t="s">
        <v>123</v>
      </c>
      <c r="V34" s="218" t="s">
        <v>124</v>
      </c>
      <c r="W34" s="218"/>
      <c r="X34" s="218" t="s">
        <v>125</v>
      </c>
      <c r="Y34" s="221"/>
      <c r="AA34" s="114" t="s">
        <v>106</v>
      </c>
      <c r="AB34" s="164">
        <f>HLOOKUP($O$2,Baseline!$D$25:$AG$43,13,TRUE)+HLOOKUP($O$2,Baseline!$D$25:$AG$43,14,TRUE)+HLOOKUP($O$2,Baseline!$D$25:$AG$43,15,TRUE)+HLOOKUP($O$2,Baseline!$D$25:$AG$43,16,TRUE)</f>
        <v>3420484</v>
      </c>
      <c r="AC34" s="164">
        <f>HLOOKUP($O$2,Actual!$D$25:$AG$43,13,TRUE)+HLOOKUP($O$2,Actual!$D$25:$AG$43,14,TRUE)+HLOOKUP($O$2,Actual!$D$25:$AG$43,15,TRUE)+HLOOKUP($O$2,Actual!$D$25:$AG$43,16,TRUE)</f>
        <v>329380</v>
      </c>
      <c r="AD34" s="165">
        <f t="shared" si="7"/>
        <v>0.11170751143043763</v>
      </c>
      <c r="AE34" s="165">
        <f t="shared" si="7"/>
        <v>1.0757021554539517E-2</v>
      </c>
      <c r="AF34" s="171"/>
      <c r="AG34" s="171"/>
      <c r="AH34" s="165">
        <f t="shared" si="8"/>
        <v>0.11170751143043763</v>
      </c>
      <c r="AI34" s="165">
        <f t="shared" si="8"/>
        <v>1.0757021554539517E-2</v>
      </c>
      <c r="AJ34" s="165">
        <f t="shared" si="9"/>
        <v>0.30698889614630959</v>
      </c>
      <c r="AK34" s="166">
        <v>9.4</v>
      </c>
      <c r="AL34" s="172">
        <f t="shared" si="10"/>
        <v>9400000</v>
      </c>
      <c r="AM34" s="1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</row>
    <row r="35" spans="1:215" s="30" customFormat="1" ht="28.9" customHeight="1" thickBot="1">
      <c r="A35" s="283"/>
      <c r="B35" s="284"/>
      <c r="C35" s="284"/>
      <c r="D35" s="335"/>
      <c r="E35" s="335"/>
      <c r="F35" s="337"/>
      <c r="G35" s="339"/>
      <c r="H35" s="339"/>
      <c r="I35" s="339"/>
      <c r="J35" s="35"/>
      <c r="K35" s="37"/>
      <c r="L35" s="37"/>
      <c r="M35" s="37"/>
      <c r="N35" s="29"/>
      <c r="O35" s="29"/>
      <c r="P35" s="36"/>
      <c r="Q35" s="323" t="s">
        <v>252</v>
      </c>
      <c r="R35" s="324"/>
      <c r="S35" s="324"/>
      <c r="T35" s="325"/>
      <c r="U35" s="85" t="s">
        <v>266</v>
      </c>
      <c r="V35" s="218" t="s">
        <v>268</v>
      </c>
      <c r="W35" s="218"/>
      <c r="X35" s="218" t="s">
        <v>269</v>
      </c>
      <c r="Y35" s="221"/>
      <c r="Z35" s="4"/>
      <c r="AA35" s="114" t="s">
        <v>107</v>
      </c>
      <c r="AB35" s="164">
        <f>HLOOKUP($O$2,Baseline!$D$25:$AG$43,17,TRUE)</f>
        <v>655400</v>
      </c>
      <c r="AC35" s="164">
        <f>HLOOKUP($O$2,Actual!$D$25:$AG$43,17,TRUE)</f>
        <v>0</v>
      </c>
      <c r="AD35" s="165">
        <f t="shared" si="7"/>
        <v>2.1404310907903332E-2</v>
      </c>
      <c r="AE35" s="165">
        <f t="shared" si="7"/>
        <v>0</v>
      </c>
      <c r="AF35" s="171"/>
      <c r="AG35" s="171"/>
      <c r="AH35" s="165">
        <f t="shared" si="8"/>
        <v>2.1404310907903332E-2</v>
      </c>
      <c r="AI35" s="165">
        <f t="shared" si="8"/>
        <v>0</v>
      </c>
      <c r="AJ35" s="165">
        <f t="shared" si="9"/>
        <v>3.6903984323971253E-2</v>
      </c>
      <c r="AK35" s="166">
        <v>1.1299999999999999</v>
      </c>
      <c r="AL35" s="172">
        <f t="shared" si="10"/>
        <v>1130000</v>
      </c>
      <c r="AM35" s="1"/>
    </row>
    <row r="36" spans="1:215" s="30" customFormat="1" ht="39.6" customHeight="1" thickTop="1" thickBot="1">
      <c r="A36" s="57" t="s">
        <v>100</v>
      </c>
      <c r="B36" s="41"/>
      <c r="C36" s="41"/>
      <c r="D36" s="199">
        <f t="shared" ref="D36:D53" si="11">AF68</f>
        <v>0.46490976549951812</v>
      </c>
      <c r="E36" s="199">
        <f t="shared" ref="E36:E53" si="12">AH68</f>
        <v>0.24433745583038868</v>
      </c>
      <c r="F36" s="39"/>
      <c r="G36" s="206">
        <f t="shared" ref="G36:G51" si="13">IF(D36&lt;&gt;0,E36/D36,"n/a")</f>
        <v>0.52555888037297405</v>
      </c>
      <c r="H36" s="206">
        <f ca="1">IF(D36&lt;&gt;0,G36-RAND()/100,"n/a")</f>
        <v>0.52491454763166034</v>
      </c>
      <c r="I36" s="207" t="str">
        <f t="shared" ref="I36:I45" ca="1" si="14">IF(H36=G36,"è",IF(H36&lt;G36,"é",IF(H36&gt;G36,"ê",0)))</f>
        <v>é</v>
      </c>
      <c r="J36" s="1"/>
      <c r="K36" s="1"/>
      <c r="L36" s="1"/>
      <c r="M36" s="1"/>
      <c r="N36" s="1"/>
      <c r="O36" s="1"/>
      <c r="P36" s="1"/>
      <c r="Q36" s="323" t="s">
        <v>253</v>
      </c>
      <c r="R36" s="324"/>
      <c r="S36" s="324"/>
      <c r="T36" s="325"/>
      <c r="U36" s="85" t="s">
        <v>266</v>
      </c>
      <c r="V36" s="218" t="s">
        <v>268</v>
      </c>
      <c r="W36" s="218"/>
      <c r="X36" s="218" t="s">
        <v>269</v>
      </c>
      <c r="Y36" s="221"/>
      <c r="Z36" s="4"/>
      <c r="AA36" s="114" t="s">
        <v>108</v>
      </c>
      <c r="AB36" s="164">
        <f>HLOOKUP($O$2,Baseline!$D$25:$AG$43,18,TRUE)</f>
        <v>0</v>
      </c>
      <c r="AC36" s="164">
        <f>HLOOKUP($O$2,Actual!$D$25:$AG$43,18,TRUE)</f>
        <v>0</v>
      </c>
      <c r="AD36" s="165">
        <f t="shared" si="7"/>
        <v>0</v>
      </c>
      <c r="AE36" s="165">
        <f t="shared" si="7"/>
        <v>0</v>
      </c>
      <c r="AF36" s="171"/>
      <c r="AG36" s="171"/>
      <c r="AH36" s="165">
        <f t="shared" si="8"/>
        <v>0</v>
      </c>
      <c r="AI36" s="165">
        <f t="shared" si="8"/>
        <v>0</v>
      </c>
      <c r="AJ36" s="165">
        <f t="shared" si="9"/>
        <v>0.14696276943174397</v>
      </c>
      <c r="AK36" s="166">
        <v>4.5</v>
      </c>
      <c r="AL36" s="172">
        <f t="shared" si="10"/>
        <v>4500000</v>
      </c>
      <c r="AM36" s="1"/>
    </row>
    <row r="37" spans="1:215" ht="24.95" customHeight="1" thickTop="1" thickBot="1">
      <c r="A37" s="58" t="s">
        <v>167</v>
      </c>
      <c r="B37" s="56"/>
      <c r="C37" s="56"/>
      <c r="D37" s="189">
        <f t="shared" si="11"/>
        <v>1</v>
      </c>
      <c r="E37" s="189">
        <f t="shared" si="12"/>
        <v>1</v>
      </c>
      <c r="F37" s="40"/>
      <c r="G37" s="75">
        <f t="shared" si="13"/>
        <v>1</v>
      </c>
      <c r="H37" s="75">
        <f t="shared" ref="H37:H53" ca="1" si="15">IF(D37&lt;&gt;0,G37-RAND()/100,"n/a")</f>
        <v>0.99672179574900821</v>
      </c>
      <c r="I37" s="208" t="str">
        <f t="shared" ca="1" si="14"/>
        <v>é</v>
      </c>
      <c r="Q37" s="323" t="s">
        <v>254</v>
      </c>
      <c r="R37" s="324"/>
      <c r="S37" s="324"/>
      <c r="T37" s="325"/>
      <c r="U37" s="85" t="s">
        <v>263</v>
      </c>
      <c r="V37" s="218" t="s">
        <v>268</v>
      </c>
      <c r="W37" s="218"/>
      <c r="X37" s="218" t="s">
        <v>269</v>
      </c>
      <c r="Y37" s="221"/>
      <c r="Z37" s="31"/>
      <c r="AA37" s="111" t="s">
        <v>194</v>
      </c>
      <c r="AB37" s="155">
        <f>HLOOKUP($O$2,Baseline!$D$25:$AG$43,19,TRUE)</f>
        <v>0</v>
      </c>
      <c r="AC37" s="155">
        <f>HLOOKUP($O$2,Actual!$D$25:$AG$43,19,TRUE)</f>
        <v>0</v>
      </c>
      <c r="AD37" s="156">
        <f t="shared" si="7"/>
        <v>0</v>
      </c>
      <c r="AE37" s="156">
        <f t="shared" si="7"/>
        <v>0</v>
      </c>
      <c r="AF37" s="163"/>
      <c r="AG37" s="163"/>
      <c r="AH37" s="156">
        <f t="shared" si="8"/>
        <v>0</v>
      </c>
      <c r="AI37" s="156">
        <f t="shared" si="8"/>
        <v>0</v>
      </c>
      <c r="AJ37" s="156">
        <f t="shared" si="9"/>
        <v>3.2658393207054215E-2</v>
      </c>
      <c r="AK37" s="157">
        <v>1</v>
      </c>
      <c r="AL37" s="158">
        <f>AK37*1000000</f>
        <v>1000000</v>
      </c>
    </row>
    <row r="38" spans="1:215" ht="24.95" customHeight="1" thickBot="1">
      <c r="A38" s="58" t="s">
        <v>101</v>
      </c>
      <c r="B38" s="56"/>
      <c r="C38" s="56"/>
      <c r="D38" s="189">
        <f t="shared" si="11"/>
        <v>1.0000019607843138</v>
      </c>
      <c r="E38" s="189">
        <f t="shared" si="12"/>
        <v>1.0000019607843138</v>
      </c>
      <c r="F38" s="40"/>
      <c r="G38" s="75">
        <f t="shared" si="13"/>
        <v>1</v>
      </c>
      <c r="H38" s="75">
        <f t="shared" ca="1" si="15"/>
        <v>0.99388961191111758</v>
      </c>
      <c r="I38" s="208" t="str">
        <f t="shared" ca="1" si="14"/>
        <v>é</v>
      </c>
      <c r="Q38" s="323" t="s">
        <v>255</v>
      </c>
      <c r="R38" s="324"/>
      <c r="S38" s="324"/>
      <c r="T38" s="325"/>
      <c r="U38" s="85" t="s">
        <v>263</v>
      </c>
      <c r="V38" s="218" t="s">
        <v>268</v>
      </c>
      <c r="W38" s="218"/>
      <c r="X38" s="218" t="s">
        <v>269</v>
      </c>
      <c r="Y38" s="221"/>
      <c r="Z38" s="31"/>
      <c r="AA38" s="113" t="s">
        <v>3</v>
      </c>
      <c r="AB38" s="167">
        <f>SUM(AB29:AB37)</f>
        <v>13962630</v>
      </c>
      <c r="AC38" s="167">
        <f t="shared" ref="AC38:AL38" si="16">SUM(AC29:AC37)</f>
        <v>7096218</v>
      </c>
      <c r="AD38" s="168">
        <f t="shared" si="16"/>
        <v>0.45599706074461138</v>
      </c>
      <c r="AE38" s="168">
        <f t="shared" si="16"/>
        <v>0.23175107772697584</v>
      </c>
      <c r="AF38" s="168">
        <f t="shared" si="16"/>
        <v>0</v>
      </c>
      <c r="AG38" s="168">
        <f t="shared" si="16"/>
        <v>0</v>
      </c>
      <c r="AH38" s="168">
        <f t="shared" si="16"/>
        <v>0.45599706074461138</v>
      </c>
      <c r="AI38" s="168">
        <f t="shared" si="16"/>
        <v>0.23175107772697584</v>
      </c>
      <c r="AJ38" s="168">
        <f t="shared" si="16"/>
        <v>1</v>
      </c>
      <c r="AK38" s="169">
        <f t="shared" si="16"/>
        <v>30.62</v>
      </c>
      <c r="AL38" s="170">
        <f t="shared" si="16"/>
        <v>30620000</v>
      </c>
    </row>
    <row r="39" spans="1:215" ht="24.95" customHeight="1" thickBot="1">
      <c r="A39" s="58" t="s">
        <v>172</v>
      </c>
      <c r="B39" s="56"/>
      <c r="C39" s="56"/>
      <c r="D39" s="189">
        <f t="shared" si="11"/>
        <v>0.99999971428571433</v>
      </c>
      <c r="E39" s="189">
        <f t="shared" si="12"/>
        <v>0.99999971428571433</v>
      </c>
      <c r="F39" s="59"/>
      <c r="G39" s="75">
        <f t="shared" si="13"/>
        <v>1</v>
      </c>
      <c r="H39" s="75">
        <f t="shared" ca="1" si="15"/>
        <v>0.99809320662774259</v>
      </c>
      <c r="I39" s="208" t="str">
        <f t="shared" ca="1" si="14"/>
        <v>é</v>
      </c>
      <c r="Q39" s="323" t="s">
        <v>256</v>
      </c>
      <c r="R39" s="324"/>
      <c r="S39" s="324"/>
      <c r="T39" s="325"/>
      <c r="U39" s="85" t="s">
        <v>263</v>
      </c>
      <c r="V39" s="218" t="s">
        <v>268</v>
      </c>
      <c r="W39" s="218"/>
      <c r="X39" s="218" t="s">
        <v>269</v>
      </c>
      <c r="Y39" s="221"/>
      <c r="Z39" s="31"/>
      <c r="AH39" s="30"/>
      <c r="AK39" s="83"/>
      <c r="AL39" s="123"/>
    </row>
    <row r="40" spans="1:215" ht="24.95" customHeight="1" thickBot="1">
      <c r="A40" s="58" t="s">
        <v>174</v>
      </c>
      <c r="B40" s="56"/>
      <c r="C40" s="56"/>
      <c r="D40" s="189">
        <f t="shared" si="11"/>
        <v>0.99999733333333329</v>
      </c>
      <c r="E40" s="189">
        <f t="shared" si="12"/>
        <v>0.99999733333333329</v>
      </c>
      <c r="F40" s="59"/>
      <c r="G40" s="75">
        <f t="shared" si="13"/>
        <v>1</v>
      </c>
      <c r="H40" s="75">
        <f t="shared" ca="1" si="15"/>
        <v>0.99169473467552383</v>
      </c>
      <c r="I40" s="208" t="str">
        <f t="shared" ca="1" si="14"/>
        <v>é</v>
      </c>
      <c r="Q40" s="323" t="s">
        <v>257</v>
      </c>
      <c r="R40" s="324"/>
      <c r="S40" s="324"/>
      <c r="T40" s="325"/>
      <c r="U40" s="85" t="s">
        <v>264</v>
      </c>
      <c r="V40" s="218" t="s">
        <v>268</v>
      </c>
      <c r="W40" s="218"/>
      <c r="X40" s="218" t="s">
        <v>269</v>
      </c>
      <c r="Y40" s="221"/>
      <c r="Z40" s="31"/>
      <c r="AH40" s="30"/>
      <c r="AK40" s="83"/>
      <c r="AL40" s="123"/>
    </row>
    <row r="41" spans="1:215" ht="24.95" customHeight="1" thickBot="1">
      <c r="A41" s="58" t="s">
        <v>153</v>
      </c>
      <c r="B41" s="56"/>
      <c r="C41" s="56"/>
      <c r="D41" s="189">
        <f t="shared" si="11"/>
        <v>1.0000029411764706</v>
      </c>
      <c r="E41" s="189">
        <f t="shared" si="12"/>
        <v>1.0000029411764706</v>
      </c>
      <c r="F41" s="59"/>
      <c r="G41" s="75">
        <f t="shared" si="13"/>
        <v>1</v>
      </c>
      <c r="H41" s="75">
        <f t="shared" ca="1" si="15"/>
        <v>0.99806265222066359</v>
      </c>
      <c r="I41" s="208" t="str">
        <f t="shared" ca="1" si="14"/>
        <v>é</v>
      </c>
      <c r="Q41" s="323" t="s">
        <v>258</v>
      </c>
      <c r="R41" s="324"/>
      <c r="S41" s="324"/>
      <c r="T41" s="325"/>
      <c r="U41" s="85" t="s">
        <v>265</v>
      </c>
      <c r="V41" s="218" t="s">
        <v>268</v>
      </c>
      <c r="W41" s="218"/>
      <c r="X41" s="218" t="s">
        <v>269</v>
      </c>
      <c r="Y41" s="221"/>
      <c r="Z41" s="31"/>
      <c r="AH41" s="30"/>
      <c r="AK41" s="83"/>
      <c r="AL41" s="123"/>
    </row>
    <row r="42" spans="1:215" ht="24.95" customHeight="1" thickBot="1">
      <c r="A42" s="58" t="s">
        <v>111</v>
      </c>
      <c r="B42" s="56"/>
      <c r="C42" s="56"/>
      <c r="D42" s="189">
        <f t="shared" si="11"/>
        <v>0.46504499999999999</v>
      </c>
      <c r="E42" s="189">
        <f t="shared" si="12"/>
        <v>9.4225000000000003E-2</v>
      </c>
      <c r="F42" s="59"/>
      <c r="G42" s="75">
        <f t="shared" si="13"/>
        <v>0.20261480071821009</v>
      </c>
      <c r="H42" s="75">
        <f t="shared" ca="1" si="15"/>
        <v>0.19814063697555606</v>
      </c>
      <c r="I42" s="208" t="str">
        <f t="shared" ca="1" si="14"/>
        <v>é</v>
      </c>
      <c r="Q42" s="323" t="s">
        <v>259</v>
      </c>
      <c r="R42" s="324"/>
      <c r="S42" s="324"/>
      <c r="T42" s="325"/>
      <c r="U42" s="85" t="s">
        <v>267</v>
      </c>
      <c r="V42" s="218" t="s">
        <v>268</v>
      </c>
      <c r="W42" s="218"/>
      <c r="X42" s="218" t="s">
        <v>269</v>
      </c>
      <c r="Y42" s="221"/>
      <c r="Z42" s="31"/>
      <c r="AH42" s="30"/>
      <c r="AK42" s="83"/>
      <c r="AL42" s="123"/>
    </row>
    <row r="43" spans="1:215" ht="24.95" customHeight="1" thickBot="1">
      <c r="A43" s="58" t="s">
        <v>134</v>
      </c>
      <c r="B43" s="56"/>
      <c r="C43" s="56"/>
      <c r="D43" s="189">
        <f t="shared" si="11"/>
        <v>0.45341583333333335</v>
      </c>
      <c r="E43" s="189">
        <f t="shared" si="12"/>
        <v>7.4534166666666665E-2</v>
      </c>
      <c r="F43" s="59"/>
      <c r="G43" s="75">
        <f t="shared" si="13"/>
        <v>0.16438368752745364</v>
      </c>
      <c r="H43" s="75">
        <f t="shared" ca="1" si="15"/>
        <v>0.16019383671068632</v>
      </c>
      <c r="I43" s="208" t="str">
        <f t="shared" ca="1" si="14"/>
        <v>é</v>
      </c>
      <c r="Q43" s="323" t="s">
        <v>260</v>
      </c>
      <c r="R43" s="324"/>
      <c r="S43" s="324"/>
      <c r="T43" s="325"/>
      <c r="U43" s="85" t="s">
        <v>267</v>
      </c>
      <c r="V43" s="218" t="s">
        <v>268</v>
      </c>
      <c r="W43" s="218"/>
      <c r="X43" s="218" t="s">
        <v>269</v>
      </c>
      <c r="Y43" s="221"/>
      <c r="Z43" s="31"/>
      <c r="AH43" s="30"/>
      <c r="AK43" s="83"/>
      <c r="AL43" s="123"/>
    </row>
    <row r="44" spans="1:215" ht="24.95" customHeight="1" thickBot="1">
      <c r="A44" s="58" t="s">
        <v>112</v>
      </c>
      <c r="B44" s="56"/>
      <c r="C44" s="56"/>
      <c r="D44" s="189">
        <f t="shared" si="11"/>
        <v>0.45341599999999999</v>
      </c>
      <c r="E44" s="189">
        <f t="shared" si="12"/>
        <v>7.4534000000000003E-2</v>
      </c>
      <c r="F44" s="59"/>
      <c r="G44" s="75">
        <f t="shared" si="13"/>
        <v>0.16438325952326341</v>
      </c>
      <c r="H44" s="75">
        <v>0.5</v>
      </c>
      <c r="I44" s="208" t="str">
        <f t="shared" si="14"/>
        <v>ê</v>
      </c>
      <c r="Q44" s="323" t="s">
        <v>261</v>
      </c>
      <c r="R44" s="324"/>
      <c r="S44" s="324"/>
      <c r="T44" s="325"/>
      <c r="U44" s="85" t="s">
        <v>267</v>
      </c>
      <c r="V44" s="218" t="s">
        <v>268</v>
      </c>
      <c r="W44" s="218"/>
      <c r="X44" s="218" t="s">
        <v>269</v>
      </c>
      <c r="Y44" s="221"/>
      <c r="Z44" s="31"/>
      <c r="AB44" s="190"/>
      <c r="AC44" s="191" t="str">
        <f>AA85</f>
        <v>Handover</v>
      </c>
      <c r="AD44" s="192">
        <f>AD85</f>
        <v>0</v>
      </c>
      <c r="AE44" s="193">
        <f>D53</f>
        <v>0</v>
      </c>
      <c r="AH44" s="30"/>
      <c r="AK44" s="83"/>
      <c r="AL44" s="123"/>
    </row>
    <row r="45" spans="1:215" ht="24.95" customHeight="1" thickBot="1">
      <c r="A45" s="58" t="s">
        <v>104</v>
      </c>
      <c r="B45" s="56"/>
      <c r="C45" s="56"/>
      <c r="D45" s="189">
        <f t="shared" si="11"/>
        <v>0.41091899999999998</v>
      </c>
      <c r="E45" s="189">
        <f t="shared" si="12"/>
        <v>6.0345000000000003E-2</v>
      </c>
      <c r="F45" s="59"/>
      <c r="G45" s="75">
        <f t="shared" si="13"/>
        <v>0.14685375950004748</v>
      </c>
      <c r="H45" s="75">
        <v>0.8</v>
      </c>
      <c r="I45" s="208" t="str">
        <f t="shared" si="14"/>
        <v>ê</v>
      </c>
      <c r="Q45" s="323" t="s">
        <v>262</v>
      </c>
      <c r="R45" s="324"/>
      <c r="S45" s="324"/>
      <c r="T45" s="325"/>
      <c r="U45" s="85" t="s">
        <v>267</v>
      </c>
      <c r="V45" s="218" t="s">
        <v>268</v>
      </c>
      <c r="W45" s="218"/>
      <c r="X45" s="218" t="s">
        <v>269</v>
      </c>
      <c r="Y45" s="221"/>
      <c r="Z45" s="31"/>
      <c r="AB45" s="190"/>
      <c r="AC45" s="114" t="str">
        <f>AA84</f>
        <v>Incidencials</v>
      </c>
      <c r="AD45" s="194">
        <f>AD84</f>
        <v>0</v>
      </c>
      <c r="AE45" s="195">
        <f>D52</f>
        <v>0</v>
      </c>
      <c r="AH45" s="30"/>
      <c r="AK45" s="83"/>
      <c r="AL45" s="123"/>
    </row>
    <row r="46" spans="1:215" ht="24.95" customHeight="1" thickBot="1">
      <c r="A46" s="58" t="s">
        <v>113</v>
      </c>
      <c r="B46" s="56"/>
      <c r="C46" s="56"/>
      <c r="D46" s="189">
        <f t="shared" si="11"/>
        <v>0.39882714285714288</v>
      </c>
      <c r="E46" s="189">
        <f t="shared" si="12"/>
        <v>4.1055714285714286E-2</v>
      </c>
      <c r="F46" s="59"/>
      <c r="G46" s="75">
        <f t="shared" si="13"/>
        <v>0.10294112379512785</v>
      </c>
      <c r="H46" s="75">
        <f t="shared" ca="1" si="15"/>
        <v>9.5100035183495982E-2</v>
      </c>
      <c r="I46" s="208" t="str">
        <f ca="1">IF(H46=G46,"è",IF(H46&lt;G46,"é",IF(H46&gt;G46,"ê",0)))</f>
        <v>é</v>
      </c>
      <c r="Q46" s="323"/>
      <c r="R46" s="324"/>
      <c r="S46" s="324"/>
      <c r="T46" s="325"/>
      <c r="U46" s="85"/>
      <c r="V46" s="218"/>
      <c r="W46" s="218"/>
      <c r="X46" s="218"/>
      <c r="Y46" s="221"/>
      <c r="Z46" s="31"/>
      <c r="AB46" s="190"/>
      <c r="AC46" s="114" t="str">
        <f>AA83</f>
        <v>Drainages</v>
      </c>
      <c r="AD46" s="194">
        <f>AD83</f>
        <v>655400</v>
      </c>
      <c r="AE46" s="195">
        <f>D51</f>
        <v>0.57999999999999996</v>
      </c>
      <c r="AH46" s="30"/>
      <c r="AK46" s="83"/>
      <c r="AL46" s="123"/>
    </row>
    <row r="47" spans="1:215" ht="24.95" customHeight="1" thickBot="1">
      <c r="A47" s="58" t="s">
        <v>114</v>
      </c>
      <c r="B47" s="56"/>
      <c r="C47" s="56"/>
      <c r="D47" s="189">
        <f t="shared" si="11"/>
        <v>0.36388127659574471</v>
      </c>
      <c r="E47" s="189">
        <f t="shared" si="12"/>
        <v>3.5040425531914894E-2</v>
      </c>
      <c r="F47" s="59"/>
      <c r="G47" s="75">
        <f t="shared" si="13"/>
        <v>9.6296313621113266E-2</v>
      </c>
      <c r="H47" s="75">
        <f t="shared" ca="1" si="15"/>
        <v>8.9251112999547882E-2</v>
      </c>
      <c r="I47" s="208" t="str">
        <f t="shared" ref="I47:I53" ca="1" si="17">IF(H47=G47,"è",IF(H47&lt;G47,"é",IF(H47&gt;G47,"ê",0)))</f>
        <v>é</v>
      </c>
      <c r="Q47" s="323"/>
      <c r="R47" s="324"/>
      <c r="S47" s="324"/>
      <c r="T47" s="325"/>
      <c r="U47" s="85"/>
      <c r="V47" s="218"/>
      <c r="W47" s="218"/>
      <c r="X47" s="218"/>
      <c r="Y47" s="221"/>
      <c r="Z47" s="31"/>
      <c r="AB47" s="190"/>
      <c r="AC47" s="114" t="str">
        <f>AA82</f>
        <v>Overpasses</v>
      </c>
      <c r="AD47" s="194">
        <f>AD82</f>
        <v>855121</v>
      </c>
      <c r="AE47" s="195">
        <f>D50</f>
        <v>0.36388127659574471</v>
      </c>
      <c r="AH47" s="30"/>
      <c r="AK47" s="83"/>
      <c r="AL47" s="123"/>
    </row>
    <row r="48" spans="1:215" ht="24.95" customHeight="1" thickBot="1">
      <c r="A48" s="58" t="s">
        <v>115</v>
      </c>
      <c r="B48" s="56"/>
      <c r="C48" s="56"/>
      <c r="D48" s="189">
        <f t="shared" si="11"/>
        <v>0.36388127659574471</v>
      </c>
      <c r="E48" s="189">
        <f t="shared" si="12"/>
        <v>3.5040425531914894E-2</v>
      </c>
      <c r="F48" s="59"/>
      <c r="G48" s="75">
        <f t="shared" si="13"/>
        <v>9.6296313621113266E-2</v>
      </c>
      <c r="H48" s="75">
        <f t="shared" ca="1" si="15"/>
        <v>9.6259991694340227E-2</v>
      </c>
      <c r="I48" s="208" t="str">
        <f t="shared" ca="1" si="17"/>
        <v>é</v>
      </c>
      <c r="Q48" s="323"/>
      <c r="R48" s="324"/>
      <c r="S48" s="324"/>
      <c r="T48" s="325"/>
      <c r="U48" s="85"/>
      <c r="V48" s="218"/>
      <c r="W48" s="218"/>
      <c r="X48" s="218"/>
      <c r="Y48" s="221"/>
      <c r="Z48" s="31"/>
      <c r="AB48" s="190"/>
      <c r="AC48" s="114" t="str">
        <f>AA81</f>
        <v>Underpasses</v>
      </c>
      <c r="AD48" s="194">
        <f>AD81</f>
        <v>855121</v>
      </c>
      <c r="AE48" s="195">
        <f>D49</f>
        <v>0.36388127659574471</v>
      </c>
      <c r="AH48" s="30"/>
      <c r="AK48" s="83"/>
      <c r="AL48" s="123"/>
    </row>
    <row r="49" spans="1:38" ht="24.95" customHeight="1" thickBot="1">
      <c r="A49" s="58" t="s">
        <v>117</v>
      </c>
      <c r="B49" s="56"/>
      <c r="C49" s="56"/>
      <c r="D49" s="189">
        <f t="shared" si="11"/>
        <v>0.36388127659574471</v>
      </c>
      <c r="E49" s="189">
        <f t="shared" si="12"/>
        <v>3.5040425531914894E-2</v>
      </c>
      <c r="F49" s="59"/>
      <c r="G49" s="75">
        <f t="shared" si="13"/>
        <v>9.6296313621113266E-2</v>
      </c>
      <c r="H49" s="75">
        <v>0.3</v>
      </c>
      <c r="I49" s="208" t="str">
        <f t="shared" si="17"/>
        <v>ê</v>
      </c>
      <c r="Q49" s="323"/>
      <c r="R49" s="324"/>
      <c r="S49" s="324"/>
      <c r="T49" s="325"/>
      <c r="U49" s="85"/>
      <c r="V49" s="218"/>
      <c r="W49" s="218"/>
      <c r="X49" s="218"/>
      <c r="Y49" s="221"/>
      <c r="Z49" s="31"/>
      <c r="AB49" s="190"/>
      <c r="AC49" s="114" t="str">
        <f>AA80</f>
        <v>Box Culverts</v>
      </c>
      <c r="AD49" s="194">
        <f>AD80</f>
        <v>855121</v>
      </c>
      <c r="AE49" s="195">
        <f>D48</f>
        <v>0.36388127659574471</v>
      </c>
      <c r="AH49" s="30"/>
      <c r="AK49" s="83"/>
      <c r="AL49" s="123"/>
    </row>
    <row r="50" spans="1:38" ht="24.95" customHeight="1" thickBot="1">
      <c r="A50" s="58" t="s">
        <v>116</v>
      </c>
      <c r="B50" s="56"/>
      <c r="C50" s="56"/>
      <c r="D50" s="189">
        <f t="shared" si="11"/>
        <v>0.36388127659574471</v>
      </c>
      <c r="E50" s="189">
        <f t="shared" si="12"/>
        <v>3.5040425531914894E-2</v>
      </c>
      <c r="F50" s="59"/>
      <c r="G50" s="75">
        <f t="shared" si="13"/>
        <v>9.6296313621113266E-2</v>
      </c>
      <c r="H50" s="75">
        <f t="shared" ca="1" si="15"/>
        <v>9.6240918720239516E-2</v>
      </c>
      <c r="I50" s="208" t="str">
        <f t="shared" ca="1" si="17"/>
        <v>é</v>
      </c>
      <c r="Q50" s="323"/>
      <c r="R50" s="324"/>
      <c r="S50" s="324"/>
      <c r="T50" s="325"/>
      <c r="U50" s="85"/>
      <c r="V50" s="218"/>
      <c r="W50" s="218"/>
      <c r="X50" s="218"/>
      <c r="Y50" s="221"/>
      <c r="Z50" s="31"/>
      <c r="AB50" s="190"/>
      <c r="AC50" s="114" t="str">
        <f>AA79</f>
        <v>Viaducts</v>
      </c>
      <c r="AD50" s="194">
        <f>AD79</f>
        <v>855121</v>
      </c>
      <c r="AE50" s="195">
        <f>D47</f>
        <v>0.36388127659574471</v>
      </c>
      <c r="AH50" s="30"/>
      <c r="AK50" s="83"/>
      <c r="AL50" s="123"/>
    </row>
    <row r="51" spans="1:38" ht="24.95" customHeight="1" thickBot="1">
      <c r="A51" s="58" t="s">
        <v>198</v>
      </c>
      <c r="B51" s="56"/>
      <c r="C51" s="56"/>
      <c r="D51" s="189">
        <f t="shared" si="11"/>
        <v>0.57999999999999996</v>
      </c>
      <c r="E51" s="189">
        <f t="shared" si="12"/>
        <v>0</v>
      </c>
      <c r="F51" s="59"/>
      <c r="G51" s="75">
        <f t="shared" si="13"/>
        <v>0</v>
      </c>
      <c r="H51" s="75">
        <f t="shared" ca="1" si="15"/>
        <v>-8.7861164331778149E-3</v>
      </c>
      <c r="I51" s="208" t="str">
        <f t="shared" ca="1" si="17"/>
        <v>é</v>
      </c>
      <c r="Q51" s="323"/>
      <c r="R51" s="324"/>
      <c r="S51" s="324"/>
      <c r="T51" s="325"/>
      <c r="U51" s="85"/>
      <c r="V51" s="218"/>
      <c r="W51" s="218"/>
      <c r="X51" s="218"/>
      <c r="Y51" s="221"/>
      <c r="Z51" s="31"/>
      <c r="AB51" s="190"/>
      <c r="AC51" s="114" t="str">
        <f>AA78</f>
        <v>Wearing Course</v>
      </c>
      <c r="AD51" s="194">
        <f>AD78</f>
        <v>558358</v>
      </c>
      <c r="AE51" s="195">
        <f>D46</f>
        <v>0.39882714285714288</v>
      </c>
      <c r="AH51" s="30"/>
      <c r="AK51" s="83"/>
      <c r="AL51" s="123"/>
    </row>
    <row r="52" spans="1:38" ht="24.95" customHeight="1" thickBot="1">
      <c r="A52" s="58" t="s">
        <v>118</v>
      </c>
      <c r="B52" s="56"/>
      <c r="C52" s="56"/>
      <c r="D52" s="189">
        <f t="shared" si="11"/>
        <v>0</v>
      </c>
      <c r="E52" s="189">
        <f t="shared" si="12"/>
        <v>0</v>
      </c>
      <c r="F52" s="59"/>
      <c r="G52" s="75" t="str">
        <f>IF(D52&lt;&gt;0,E52/D52,"n/a")</f>
        <v>n/a</v>
      </c>
      <c r="H52" s="75" t="str">
        <f t="shared" ca="1" si="15"/>
        <v>n/a</v>
      </c>
      <c r="I52" s="208" t="str">
        <f t="shared" ca="1" si="17"/>
        <v>è</v>
      </c>
      <c r="Q52" s="323"/>
      <c r="R52" s="324"/>
      <c r="S52" s="324"/>
      <c r="T52" s="325"/>
      <c r="U52" s="85"/>
      <c r="V52" s="218"/>
      <c r="W52" s="218"/>
      <c r="X52" s="218"/>
      <c r="Y52" s="221"/>
      <c r="Z52" s="31"/>
      <c r="AB52" s="190"/>
      <c r="AC52" s="114" t="str">
        <f>AA77</f>
        <v>Subgrade &amp; Subbase</v>
      </c>
      <c r="AD52" s="194">
        <f>AD77</f>
        <v>410919</v>
      </c>
      <c r="AE52" s="195">
        <f>D45</f>
        <v>0.41091899999999998</v>
      </c>
      <c r="AH52" s="30"/>
      <c r="AK52" s="83"/>
      <c r="AL52" s="123"/>
    </row>
    <row r="53" spans="1:38" ht="24.95" customHeight="1" thickBot="1">
      <c r="A53" s="58" t="s">
        <v>194</v>
      </c>
      <c r="B53" s="56"/>
      <c r="C53" s="56"/>
      <c r="D53" s="189">
        <f t="shared" si="11"/>
        <v>0</v>
      </c>
      <c r="E53" s="189">
        <f t="shared" si="12"/>
        <v>0</v>
      </c>
      <c r="F53" s="59"/>
      <c r="G53" s="75" t="str">
        <f>IF(D53&lt;&gt;0,E53/D53,"n/a")</f>
        <v>n/a</v>
      </c>
      <c r="H53" s="75" t="str">
        <f t="shared" ca="1" si="15"/>
        <v>n/a</v>
      </c>
      <c r="I53" s="208" t="str">
        <f t="shared" ca="1" si="17"/>
        <v>è</v>
      </c>
      <c r="Q53" s="323"/>
      <c r="R53" s="324"/>
      <c r="S53" s="324"/>
      <c r="T53" s="325"/>
      <c r="U53" s="85"/>
      <c r="V53" s="218"/>
      <c r="W53" s="218"/>
      <c r="X53" s="218"/>
      <c r="Y53" s="221"/>
      <c r="Z53" s="31"/>
      <c r="AB53" s="190"/>
      <c r="AC53" s="114" t="str">
        <f>AA76</f>
        <v>Embankment Filling</v>
      </c>
      <c r="AD53" s="194">
        <f>AD76</f>
        <v>1360248</v>
      </c>
      <c r="AE53" s="195">
        <f>D44</f>
        <v>0.45341599999999999</v>
      </c>
      <c r="AH53" s="30"/>
      <c r="AK53" s="83"/>
      <c r="AL53" s="123"/>
    </row>
    <row r="54" spans="1:38" ht="21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AB54" s="190"/>
      <c r="AC54" s="114" t="str">
        <f>AA75</f>
        <v>Cutting</v>
      </c>
      <c r="AD54" s="194">
        <f>AD75</f>
        <v>1088198</v>
      </c>
      <c r="AE54" s="195">
        <f>D43</f>
        <v>0.45341583333333335</v>
      </c>
      <c r="AH54" s="30"/>
    </row>
    <row r="55" spans="1:38" ht="21" customHeight="1"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AB55" s="190"/>
      <c r="AC55" s="114" t="str">
        <f>AA74</f>
        <v>Clearing &amp; Grabing</v>
      </c>
      <c r="AD55" s="194">
        <f>AD74</f>
        <v>279027</v>
      </c>
      <c r="AE55" s="195">
        <f>D42</f>
        <v>0.46504499999999999</v>
      </c>
      <c r="AH55" s="30"/>
    </row>
    <row r="56" spans="1:38" ht="18.75"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AB56" s="190"/>
      <c r="AC56" s="114" t="str">
        <f>AA73</f>
        <v>Possetion of Site</v>
      </c>
      <c r="AD56" s="194">
        <f>AD73</f>
        <v>340001</v>
      </c>
      <c r="AE56" s="195">
        <f>D41</f>
        <v>1.0000029411764706</v>
      </c>
      <c r="AH56" s="30"/>
    </row>
    <row r="57" spans="1:38" ht="18.75"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AB57" s="190"/>
      <c r="AC57" s="114" t="str">
        <f>AA72</f>
        <v>Structural Design</v>
      </c>
      <c r="AD57" s="194">
        <f>AD72</f>
        <v>1499996</v>
      </c>
      <c r="AE57" s="195">
        <f>D40</f>
        <v>0.99999733333333329</v>
      </c>
      <c r="AH57" s="30"/>
    </row>
    <row r="58" spans="1:38" ht="18.75">
      <c r="AB58" s="190"/>
      <c r="AC58" s="114" t="str">
        <f>AA71</f>
        <v>Highway Design</v>
      </c>
      <c r="AD58" s="194">
        <f>AD71</f>
        <v>3499999</v>
      </c>
      <c r="AE58" s="195">
        <f>D39</f>
        <v>0.99999971428571433</v>
      </c>
      <c r="AH58" s="30"/>
    </row>
    <row r="59" spans="1:38" ht="18.75">
      <c r="I59" s="190"/>
      <c r="AB59" s="190"/>
      <c r="AC59" s="114" t="str">
        <f>AA70</f>
        <v>Mobilization</v>
      </c>
      <c r="AD59" s="194">
        <f>AD70</f>
        <v>510001</v>
      </c>
      <c r="AE59" s="195">
        <f>D38</f>
        <v>1.0000019607843138</v>
      </c>
      <c r="AH59" s="30"/>
    </row>
    <row r="60" spans="1:38" ht="18.75">
      <c r="I60" s="190"/>
      <c r="AB60" s="190"/>
      <c r="AC60" s="114" t="str">
        <f>AA69</f>
        <v>Prelimnaries</v>
      </c>
      <c r="AD60" s="194">
        <f>AD69</f>
        <v>850000</v>
      </c>
      <c r="AE60" s="195">
        <f>D37</f>
        <v>1</v>
      </c>
      <c r="AH60" s="30"/>
    </row>
    <row r="61" spans="1:38" ht="19.5" thickBot="1">
      <c r="I61" s="190"/>
      <c r="AB61" s="190"/>
      <c r="AC61" s="196" t="str">
        <f>AA68</f>
        <v>Overall Construction</v>
      </c>
      <c r="AD61" s="197">
        <f>AD68</f>
        <v>14472641</v>
      </c>
      <c r="AE61" s="198">
        <f>D36</f>
        <v>0.46490976549951812</v>
      </c>
      <c r="AH61" s="30"/>
    </row>
    <row r="62" spans="1:38">
      <c r="I62" s="190"/>
    </row>
    <row r="63" spans="1:38">
      <c r="I63" s="190"/>
    </row>
    <row r="64" spans="1:38">
      <c r="I64" s="190"/>
    </row>
    <row r="65" spans="9:34">
      <c r="I65" s="190"/>
    </row>
    <row r="66" spans="9:34">
      <c r="I66" s="190"/>
      <c r="AB66" s="1"/>
    </row>
    <row r="67" spans="9:34" ht="15.75" thickBot="1">
      <c r="I67" s="190"/>
      <c r="AB67" s="1"/>
    </row>
    <row r="68" spans="9:34" ht="22.5" thickTop="1" thickBot="1">
      <c r="I68" s="190"/>
      <c r="AA68" s="57" t="s">
        <v>100</v>
      </c>
      <c r="AB68" s="41"/>
      <c r="AC68" s="41"/>
      <c r="AD68" s="201">
        <f>HLOOKUP($O$2,Baseline!$D$25:$AG$43,2,TRUE)</f>
        <v>14472641</v>
      </c>
      <c r="AE68" s="202">
        <f>'Cost Assignment'!D1</f>
        <v>31130000</v>
      </c>
      <c r="AF68" s="204">
        <f>AD68/AE68</f>
        <v>0.46490976549951812</v>
      </c>
      <c r="AG68" s="201">
        <f>HLOOKUP($O$2,Actual!$D$25:$AG$43,2,TRUE)</f>
        <v>7606225</v>
      </c>
      <c r="AH68" s="203">
        <f>AG68/AE68</f>
        <v>0.24433745583038868</v>
      </c>
    </row>
    <row r="69" spans="9:34" ht="19.5" thickTop="1">
      <c r="I69" s="190"/>
      <c r="AA69" s="58" t="s">
        <v>167</v>
      </c>
      <c r="AB69" s="56"/>
      <c r="AC69" s="56"/>
      <c r="AD69" s="200">
        <f>HLOOKUP($O$2,Baseline!$D$25:$AG$43,3,TRUE)</f>
        <v>850000</v>
      </c>
      <c r="AE69" s="1">
        <f>'Cost Assignment'!D8</f>
        <v>850000</v>
      </c>
      <c r="AF69" s="204">
        <f t="shared" ref="AF69:AF85" si="18">AD69/AE69</f>
        <v>1</v>
      </c>
      <c r="AG69" s="200">
        <f>HLOOKUP($O$2,Actual!$D$25:$AG$43,3,TRUE)</f>
        <v>850000</v>
      </c>
      <c r="AH69" s="203">
        <f t="shared" ref="AH69:AH85" si="19">AG69/AE69</f>
        <v>1</v>
      </c>
    </row>
    <row r="70" spans="9:34" ht="18.75">
      <c r="I70" s="190"/>
      <c r="AA70" s="58" t="s">
        <v>101</v>
      </c>
      <c r="AB70" s="56"/>
      <c r="AC70" s="56"/>
      <c r="AD70" s="200">
        <f>HLOOKUP($O$2,Baseline!$D$25:$AG$43,4,TRUE)</f>
        <v>510001</v>
      </c>
      <c r="AE70" s="1">
        <f>'Cost Assignment'!D10</f>
        <v>510000</v>
      </c>
      <c r="AF70" s="204">
        <f t="shared" si="18"/>
        <v>1.0000019607843138</v>
      </c>
      <c r="AG70" s="200">
        <f>HLOOKUP($O$2,Actual!$D$25:$AG$43,4,TRUE)</f>
        <v>510001</v>
      </c>
      <c r="AH70" s="203">
        <f t="shared" si="19"/>
        <v>1.0000019607843138</v>
      </c>
    </row>
    <row r="71" spans="9:34" ht="18.75">
      <c r="I71" s="190"/>
      <c r="AA71" s="58" t="s">
        <v>172</v>
      </c>
      <c r="AB71" s="56"/>
      <c r="AC71" s="56"/>
      <c r="AD71" s="200">
        <f>HLOOKUP($O$2,Baseline!$D$25:$AG$43,5,TRUE)</f>
        <v>3499999</v>
      </c>
      <c r="AE71" s="1">
        <f>'Cost Assignment'!D12</f>
        <v>3500000</v>
      </c>
      <c r="AF71" s="204">
        <f t="shared" si="18"/>
        <v>0.99999971428571433</v>
      </c>
      <c r="AG71" s="200">
        <f>HLOOKUP($O$2,Actual!$D$25:$AG$43,5,TRUE)</f>
        <v>3499999</v>
      </c>
      <c r="AH71" s="203">
        <f t="shared" si="19"/>
        <v>0.99999971428571433</v>
      </c>
    </row>
    <row r="72" spans="9:34" ht="18.75">
      <c r="I72" s="190"/>
      <c r="AA72" s="58" t="s">
        <v>174</v>
      </c>
      <c r="AB72" s="56"/>
      <c r="AC72" s="56"/>
      <c r="AD72" s="200">
        <f>HLOOKUP($O$2,Baseline!$D$25:$AG$43,6,TRUE)</f>
        <v>1499996</v>
      </c>
      <c r="AE72" s="1">
        <f>'Cost Assignment'!D13</f>
        <v>1500000</v>
      </c>
      <c r="AF72" s="204">
        <f t="shared" si="18"/>
        <v>0.99999733333333329</v>
      </c>
      <c r="AG72" s="200">
        <f>HLOOKUP($O$2,Actual!$D$25:$AG$43,6,TRUE)</f>
        <v>1499996</v>
      </c>
      <c r="AH72" s="203">
        <f t="shared" si="19"/>
        <v>0.99999733333333329</v>
      </c>
    </row>
    <row r="73" spans="9:34" ht="18.75">
      <c r="I73" s="190"/>
      <c r="AA73" s="58" t="s">
        <v>153</v>
      </c>
      <c r="AB73" s="56"/>
      <c r="AC73" s="56"/>
      <c r="AD73" s="200">
        <f>HLOOKUP($O$2,Baseline!$D$25:$AG$43,7,TRUE)</f>
        <v>340001</v>
      </c>
      <c r="AE73" s="1">
        <f>'Cost Assignment'!D15</f>
        <v>340000</v>
      </c>
      <c r="AF73" s="204">
        <f t="shared" si="18"/>
        <v>1.0000029411764706</v>
      </c>
      <c r="AG73" s="200">
        <f>HLOOKUP($O$2,Actual!$D$25:$AG$43,7,TRUE)</f>
        <v>340001</v>
      </c>
      <c r="AH73" s="203">
        <f t="shared" si="19"/>
        <v>1.0000029411764706</v>
      </c>
    </row>
    <row r="74" spans="9:34" ht="18.75">
      <c r="I74" s="190"/>
      <c r="AA74" s="58" t="s">
        <v>111</v>
      </c>
      <c r="AB74" s="56"/>
      <c r="AC74" s="56"/>
      <c r="AD74" s="200">
        <f>HLOOKUP($O$2,Baseline!$D$25:$AG$43,8,TRUE)</f>
        <v>279027</v>
      </c>
      <c r="AE74" s="1">
        <f>'Cost Assignment'!D17</f>
        <v>600000</v>
      </c>
      <c r="AF74" s="204">
        <f t="shared" si="18"/>
        <v>0.46504499999999999</v>
      </c>
      <c r="AG74" s="200">
        <f>HLOOKUP($O$2,Actual!$D$25:$AG$43,8,TRUE)</f>
        <v>56535</v>
      </c>
      <c r="AH74" s="203">
        <f t="shared" si="19"/>
        <v>9.4225000000000003E-2</v>
      </c>
    </row>
    <row r="75" spans="9:34" ht="18.75">
      <c r="I75" s="190"/>
      <c r="AA75" s="58" t="s">
        <v>134</v>
      </c>
      <c r="AB75" s="56"/>
      <c r="AC75" s="56"/>
      <c r="AD75" s="200">
        <f>HLOOKUP($O$2,Baseline!$D$25:$AG$43,9,TRUE)</f>
        <v>1088198</v>
      </c>
      <c r="AE75" s="1">
        <f>'Cost Assignment'!D18</f>
        <v>2400000</v>
      </c>
      <c r="AF75" s="204">
        <f t="shared" si="18"/>
        <v>0.45341583333333335</v>
      </c>
      <c r="AG75" s="200">
        <f>HLOOKUP($O$2,Actual!$D$25:$AG$43,9,TRUE)</f>
        <v>178882</v>
      </c>
      <c r="AH75" s="203">
        <f t="shared" si="19"/>
        <v>7.4534166666666665E-2</v>
      </c>
    </row>
    <row r="76" spans="9:34" ht="18.75">
      <c r="I76" s="190"/>
      <c r="AA76" s="58" t="s">
        <v>112</v>
      </c>
      <c r="AB76" s="56"/>
      <c r="AC76" s="56"/>
      <c r="AD76" s="200">
        <f>HLOOKUP($O$2,Baseline!$D$25:$AG$43,10,TRUE)</f>
        <v>1360248</v>
      </c>
      <c r="AE76" s="1">
        <f>'Cost Assignment'!D19</f>
        <v>3000000</v>
      </c>
      <c r="AF76" s="204">
        <f t="shared" si="18"/>
        <v>0.45341599999999999</v>
      </c>
      <c r="AG76" s="200">
        <f>HLOOKUP($O$2,Actual!$D$25:$AG$43,10,TRUE)</f>
        <v>223602</v>
      </c>
      <c r="AH76" s="203">
        <f t="shared" si="19"/>
        <v>7.4534000000000003E-2</v>
      </c>
    </row>
    <row r="77" spans="9:34" ht="18.75">
      <c r="I77" s="190"/>
      <c r="AA77" s="58" t="s">
        <v>104</v>
      </c>
      <c r="AB77" s="56"/>
      <c r="AC77" s="56"/>
      <c r="AD77" s="200">
        <f>HLOOKUP($O$2,Baseline!$D$25:$AG$43,11,TRUE)</f>
        <v>410919</v>
      </c>
      <c r="AE77" s="1">
        <f>'Cost Assignment'!D21</f>
        <v>1000000</v>
      </c>
      <c r="AF77" s="204">
        <f t="shared" si="18"/>
        <v>0.41091899999999998</v>
      </c>
      <c r="AG77" s="200">
        <f>HLOOKUP($O$2,Actual!$D$25:$AG$43,11,TRUE)</f>
        <v>60345</v>
      </c>
      <c r="AH77" s="203">
        <f t="shared" si="19"/>
        <v>6.0345000000000003E-2</v>
      </c>
    </row>
    <row r="78" spans="9:34" ht="18.75">
      <c r="I78" s="190"/>
      <c r="AA78" s="58" t="s">
        <v>113</v>
      </c>
      <c r="AB78" s="56"/>
      <c r="AC78" s="56"/>
      <c r="AD78" s="200">
        <f>HLOOKUP($O$2,Baseline!$D$25:$AG$43,12,TRUE)</f>
        <v>558358</v>
      </c>
      <c r="AE78" s="1">
        <f>'Cost Assignment'!D23</f>
        <v>1400000</v>
      </c>
      <c r="AF78" s="204">
        <f t="shared" si="18"/>
        <v>0.39882714285714288</v>
      </c>
      <c r="AG78" s="200">
        <f>HLOOKUP($O$2,Actual!$D$25:$AG$43,12,TRUE)</f>
        <v>57478</v>
      </c>
      <c r="AH78" s="203">
        <f t="shared" si="19"/>
        <v>4.1055714285714286E-2</v>
      </c>
    </row>
    <row r="79" spans="9:34" ht="18.75">
      <c r="I79" s="190"/>
      <c r="AA79" s="58" t="s">
        <v>114</v>
      </c>
      <c r="AB79" s="56"/>
      <c r="AC79" s="56"/>
      <c r="AD79" s="200">
        <f>HLOOKUP($O$2,Baseline!$D$25:$AG$43,13,TRUE)</f>
        <v>855121</v>
      </c>
      <c r="AE79" s="1">
        <f>'Cost Assignment'!E25</f>
        <v>2350000</v>
      </c>
      <c r="AF79" s="204">
        <f t="shared" si="18"/>
        <v>0.36388127659574471</v>
      </c>
      <c r="AG79" s="200">
        <f>HLOOKUP($O$2,Actual!$D$25:$AG$43,13,TRUE)</f>
        <v>82345</v>
      </c>
      <c r="AH79" s="203">
        <f t="shared" si="19"/>
        <v>3.5040425531914894E-2</v>
      </c>
    </row>
    <row r="80" spans="9:34" ht="18.75">
      <c r="I80" s="190"/>
      <c r="AA80" s="58" t="s">
        <v>115</v>
      </c>
      <c r="AB80" s="56"/>
      <c r="AC80" s="56"/>
      <c r="AD80" s="200">
        <f>HLOOKUP($O$2,Baseline!$D$25:$AG$43,14,TRUE)</f>
        <v>855121</v>
      </c>
      <c r="AE80" s="1">
        <f>'Cost Assignment'!E26</f>
        <v>2350000</v>
      </c>
      <c r="AF80" s="204">
        <f t="shared" si="18"/>
        <v>0.36388127659574471</v>
      </c>
      <c r="AG80" s="200">
        <f>HLOOKUP($O$2,Actual!$D$25:$AG$43,14,TRUE)</f>
        <v>82345</v>
      </c>
      <c r="AH80" s="203">
        <f t="shared" si="19"/>
        <v>3.5040425531914894E-2</v>
      </c>
    </row>
    <row r="81" spans="9:34" ht="18.75">
      <c r="I81" s="190"/>
      <c r="AA81" s="58" t="s">
        <v>117</v>
      </c>
      <c r="AB81" s="56"/>
      <c r="AC81" s="56"/>
      <c r="AD81" s="200">
        <f>HLOOKUP($O$2,Baseline!$D$25:$AG$43,15,TRUE)</f>
        <v>855121</v>
      </c>
      <c r="AE81" s="1">
        <f>'Cost Assignment'!D27</f>
        <v>2350000</v>
      </c>
      <c r="AF81" s="204">
        <f t="shared" si="18"/>
        <v>0.36388127659574471</v>
      </c>
      <c r="AG81" s="200">
        <f>HLOOKUP($O$2,Actual!$D$25:$AG$43,15,TRUE)</f>
        <v>82345</v>
      </c>
      <c r="AH81" s="203">
        <f t="shared" si="19"/>
        <v>3.5040425531914894E-2</v>
      </c>
    </row>
    <row r="82" spans="9:34" ht="18.75">
      <c r="I82" s="190"/>
      <c r="AA82" s="58" t="s">
        <v>116</v>
      </c>
      <c r="AB82" s="56"/>
      <c r="AC82" s="56"/>
      <c r="AD82" s="200">
        <f>HLOOKUP($O$2,Baseline!$D$25:$AG$43,16,TRUE)</f>
        <v>855121</v>
      </c>
      <c r="AE82" s="1">
        <f>'Cost Assignment'!D28</f>
        <v>2350000</v>
      </c>
      <c r="AF82" s="204">
        <f t="shared" si="18"/>
        <v>0.36388127659574471</v>
      </c>
      <c r="AG82" s="200">
        <f>HLOOKUP($O$2,Actual!$D$25:$AG$43,16,TRUE)</f>
        <v>82345</v>
      </c>
      <c r="AH82" s="203">
        <f t="shared" si="19"/>
        <v>3.5040425531914894E-2</v>
      </c>
    </row>
    <row r="83" spans="9:34" ht="18.75">
      <c r="I83" s="190"/>
      <c r="AA83" s="58" t="s">
        <v>198</v>
      </c>
      <c r="AB83" s="56"/>
      <c r="AC83" s="56"/>
      <c r="AD83" s="200">
        <f>HLOOKUP($O$2,Baseline!$D$25:$AG$43,17,TRUE)</f>
        <v>655400</v>
      </c>
      <c r="AE83" s="1">
        <f>'Cost Assignment'!D30</f>
        <v>1130000</v>
      </c>
      <c r="AF83" s="204">
        <f t="shared" si="18"/>
        <v>0.57999999999999996</v>
      </c>
      <c r="AG83" s="200">
        <f>HLOOKUP($O$2,Actual!$D$25:$AG$43,17,TRUE)</f>
        <v>0</v>
      </c>
      <c r="AH83" s="203">
        <f t="shared" si="19"/>
        <v>0</v>
      </c>
    </row>
    <row r="84" spans="9:34" ht="18.75">
      <c r="I84" s="190"/>
      <c r="AA84" s="58" t="s">
        <v>118</v>
      </c>
      <c r="AB84" s="56"/>
      <c r="AC84" s="56"/>
      <c r="AD84" s="200">
        <f>HLOOKUP($O$2,Baseline!$D$25:$AG$43,18,TRUE)</f>
        <v>0</v>
      </c>
      <c r="AE84" s="1">
        <f>'Cost Assignment'!D32</f>
        <v>4500000</v>
      </c>
      <c r="AF84" s="204">
        <f t="shared" si="18"/>
        <v>0</v>
      </c>
      <c r="AG84" s="200">
        <f>HLOOKUP($O$2,Actual!$D$25:$AG$43,18,TRUE)</f>
        <v>0</v>
      </c>
      <c r="AH84" s="203">
        <f t="shared" si="19"/>
        <v>0</v>
      </c>
    </row>
    <row r="85" spans="9:34" ht="18.75">
      <c r="I85" s="190"/>
      <c r="AA85" s="58" t="s">
        <v>194</v>
      </c>
      <c r="AB85" s="56"/>
      <c r="AC85" s="56"/>
      <c r="AD85" s="200">
        <f>HLOOKUP($O$2,Baseline!$D$25:$AG$43,19,TRUE)</f>
        <v>0</v>
      </c>
      <c r="AE85" s="1">
        <f>'Cost Assignment'!D34</f>
        <v>1000000</v>
      </c>
      <c r="AF85" s="204">
        <f t="shared" si="18"/>
        <v>0</v>
      </c>
      <c r="AG85" s="200">
        <f>HLOOKUP($O$2,Baseline!$D$25:$AG$43,19,TRUE)</f>
        <v>0</v>
      </c>
      <c r="AH85" s="203">
        <f t="shared" si="19"/>
        <v>0</v>
      </c>
    </row>
    <row r="86" spans="9:34">
      <c r="I86" s="190"/>
      <c r="AB86" s="1"/>
    </row>
    <row r="87" spans="9:34">
      <c r="I87" s="190"/>
    </row>
    <row r="88" spans="9:34">
      <c r="I88" s="190"/>
    </row>
  </sheetData>
  <mergeCells count="135">
    <mergeCell ref="Q37:T37"/>
    <mergeCell ref="X37:Y37"/>
    <mergeCell ref="Q36:T36"/>
    <mergeCell ref="Q35:T35"/>
    <mergeCell ref="R21:Y21"/>
    <mergeCell ref="D34:D35"/>
    <mergeCell ref="E34:E35"/>
    <mergeCell ref="F34:F35"/>
    <mergeCell ref="G34:G35"/>
    <mergeCell ref="H34:H35"/>
    <mergeCell ref="I34:I35"/>
    <mergeCell ref="X35:Y35"/>
    <mergeCell ref="X36:Y36"/>
    <mergeCell ref="V35:W35"/>
    <mergeCell ref="V36:W36"/>
    <mergeCell ref="V37:W37"/>
    <mergeCell ref="V45:W45"/>
    <mergeCell ref="V46:W46"/>
    <mergeCell ref="V47:W47"/>
    <mergeCell ref="V48:W48"/>
    <mergeCell ref="V49:W49"/>
    <mergeCell ref="AL19:AL20"/>
    <mergeCell ref="AL27:AL28"/>
    <mergeCell ref="AF27:AG27"/>
    <mergeCell ref="AH27:AI27"/>
    <mergeCell ref="AB19:AC19"/>
    <mergeCell ref="AD19:AE19"/>
    <mergeCell ref="AB27:AC27"/>
    <mergeCell ref="AD27:AE27"/>
    <mergeCell ref="AJ19:AK20"/>
    <mergeCell ref="AJ27:AK28"/>
    <mergeCell ref="AH19:AI19"/>
    <mergeCell ref="AF19:AG19"/>
    <mergeCell ref="X51:Y51"/>
    <mergeCell ref="X52:Y52"/>
    <mergeCell ref="X38:Y38"/>
    <mergeCell ref="X39:Y39"/>
    <mergeCell ref="X40:Y40"/>
    <mergeCell ref="X42:Y42"/>
    <mergeCell ref="X43:Y43"/>
    <mergeCell ref="Q42:T42"/>
    <mergeCell ref="Q43:T43"/>
    <mergeCell ref="Q52:T52"/>
    <mergeCell ref="Q41:T41"/>
    <mergeCell ref="Q38:T38"/>
    <mergeCell ref="Q39:T39"/>
    <mergeCell ref="Q40:T40"/>
    <mergeCell ref="X41:Y41"/>
    <mergeCell ref="Q49:T49"/>
    <mergeCell ref="X49:Y49"/>
    <mergeCell ref="V38:W38"/>
    <mergeCell ref="V39:W39"/>
    <mergeCell ref="V40:W40"/>
    <mergeCell ref="V41:W41"/>
    <mergeCell ref="V42:W42"/>
    <mergeCell ref="V43:W43"/>
    <mergeCell ref="V44:W44"/>
    <mergeCell ref="A34:C35"/>
    <mergeCell ref="J5:K5"/>
    <mergeCell ref="J4:K4"/>
    <mergeCell ref="M5:N5"/>
    <mergeCell ref="P6:Q6"/>
    <mergeCell ref="R4:Y4"/>
    <mergeCell ref="V6:W6"/>
    <mergeCell ref="R6:S6"/>
    <mergeCell ref="R7:Y7"/>
    <mergeCell ref="G4:H4"/>
    <mergeCell ref="G5:H5"/>
    <mergeCell ref="M4:N4"/>
    <mergeCell ref="G6:H6"/>
    <mergeCell ref="A8:C8"/>
    <mergeCell ref="A16:F16"/>
    <mergeCell ref="G9:J11"/>
    <mergeCell ref="G12:Q12"/>
    <mergeCell ref="A7:F7"/>
    <mergeCell ref="G7:Q7"/>
    <mergeCell ref="W8:Y8"/>
    <mergeCell ref="X14:Y14"/>
    <mergeCell ref="G2:J2"/>
    <mergeCell ref="G1:R1"/>
    <mergeCell ref="T6:U6"/>
    <mergeCell ref="K2:N2"/>
    <mergeCell ref="O2:R2"/>
    <mergeCell ref="A1:F2"/>
    <mergeCell ref="S1:Y2"/>
    <mergeCell ref="A3:O3"/>
    <mergeCell ref="P3:Y3"/>
    <mergeCell ref="K8:N8"/>
    <mergeCell ref="G8:J8"/>
    <mergeCell ref="K34:M34"/>
    <mergeCell ref="Q34:T34"/>
    <mergeCell ref="M6:N6"/>
    <mergeCell ref="J6:K6"/>
    <mergeCell ref="A33:I33"/>
    <mergeCell ref="Q33:Y33"/>
    <mergeCell ref="X17:Y17"/>
    <mergeCell ref="X11:Y11"/>
    <mergeCell ref="X10:Y10"/>
    <mergeCell ref="X12:Y12"/>
    <mergeCell ref="X13:Y13"/>
    <mergeCell ref="X15:Y15"/>
    <mergeCell ref="X16:Y16"/>
    <mergeCell ref="V34:W34"/>
    <mergeCell ref="A9:C9"/>
    <mergeCell ref="A10:C10"/>
    <mergeCell ref="A11:C11"/>
    <mergeCell ref="A12:C12"/>
    <mergeCell ref="A13:C13"/>
    <mergeCell ref="A14:C14"/>
    <mergeCell ref="K9:N11"/>
    <mergeCell ref="O9:Q11"/>
    <mergeCell ref="V50:W50"/>
    <mergeCell ref="V51:W51"/>
    <mergeCell ref="V52:W52"/>
    <mergeCell ref="V53:W53"/>
    <mergeCell ref="X9:Y9"/>
    <mergeCell ref="X34:Y34"/>
    <mergeCell ref="P4:Q5"/>
    <mergeCell ref="R5:Y5"/>
    <mergeCell ref="O8:Q8"/>
    <mergeCell ref="Q53:T53"/>
    <mergeCell ref="X45:Y45"/>
    <mergeCell ref="X46:Y46"/>
    <mergeCell ref="X44:Y44"/>
    <mergeCell ref="X47:Y47"/>
    <mergeCell ref="X48:Y48"/>
    <mergeCell ref="Q44:T44"/>
    <mergeCell ref="Q45:T45"/>
    <mergeCell ref="Q46:T46"/>
    <mergeCell ref="Q47:T47"/>
    <mergeCell ref="Q48:T48"/>
    <mergeCell ref="Q50:T50"/>
    <mergeCell ref="Q51:T51"/>
    <mergeCell ref="X53:Y53"/>
    <mergeCell ref="X50:Y50"/>
  </mergeCells>
  <phoneticPr fontId="0" type="noConversion"/>
  <conditionalFormatting sqref="Q17:R17 Q15:R15 Q13:Q14">
    <cfRule type="expression" dxfId="7" priority="79" stopIfTrue="1">
      <formula>P13&lt;=-30</formula>
    </cfRule>
    <cfRule type="expression" dxfId="6" priority="80">
      <formula>P13&lt;0</formula>
    </cfRule>
  </conditionalFormatting>
  <conditionalFormatting sqref="I36">
    <cfRule type="cellIs" dxfId="5" priority="62" stopIfTrue="1" operator="equal">
      <formula>"ê"</formula>
    </cfRule>
    <cfRule type="cellIs" dxfId="4" priority="63" stopIfTrue="1" operator="equal">
      <formula>"é"</formula>
    </cfRule>
  </conditionalFormatting>
  <conditionalFormatting sqref="R10:R14">
    <cfRule type="expression" dxfId="3" priority="81" stopIfTrue="1">
      <formula>Q11&lt;=-30</formula>
    </cfRule>
    <cfRule type="expression" dxfId="2" priority="82">
      <formula>Q11&lt;0</formula>
    </cfRule>
  </conditionalFormatting>
  <conditionalFormatting sqref="I37:I53">
    <cfRule type="cellIs" dxfId="1" priority="1" stopIfTrue="1" operator="equal">
      <formula>"ê"</formula>
    </cfRule>
    <cfRule type="cellIs" dxfId="0" priority="2" stopIfTrue="1" operator="equal">
      <formula>"é"</formula>
    </cfRule>
  </conditionalFormatting>
  <printOptions horizontalCentered="1" verticalCentered="1"/>
  <pageMargins left="0.25" right="0.25" top="0.25" bottom="0.25" header="0.3" footer="0.25"/>
  <pageSetup paperSize="8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7"/>
  <sheetViews>
    <sheetView topLeftCell="A34" workbookViewId="0">
      <selection activeCell="AA41" sqref="AA41"/>
    </sheetView>
  </sheetViews>
  <sheetFormatPr defaultColWidth="8.85546875" defaultRowHeight="11.25"/>
  <cols>
    <col min="1" max="1" width="26.7109375" style="46" customWidth="1"/>
    <col min="2" max="2" width="6.7109375" style="134" customWidth="1"/>
    <col min="3" max="3" width="19.85546875" style="46" customWidth="1"/>
    <col min="4" max="7" width="8.85546875" style="46"/>
    <col min="8" max="8" width="8.85546875" style="139"/>
    <col min="9" max="16384" width="8.85546875" style="46"/>
  </cols>
  <sheetData>
    <row r="1" spans="1:37">
      <c r="A1" s="129" t="s">
        <v>234</v>
      </c>
      <c r="B1" s="135"/>
    </row>
    <row r="2" spans="1:37" s="132" customFormat="1">
      <c r="A2" s="132" t="s">
        <v>7</v>
      </c>
      <c r="B2" s="137"/>
      <c r="C2" s="132" t="s">
        <v>8</v>
      </c>
      <c r="D2" s="133">
        <v>42767</v>
      </c>
      <c r="E2" s="133">
        <v>42795</v>
      </c>
      <c r="F2" s="133">
        <v>42826</v>
      </c>
      <c r="G2" s="133">
        <v>42856</v>
      </c>
      <c r="H2" s="142">
        <v>42887</v>
      </c>
      <c r="I2" s="133">
        <v>42917</v>
      </c>
      <c r="J2" s="133">
        <v>42948</v>
      </c>
      <c r="K2" s="133">
        <v>42979</v>
      </c>
      <c r="L2" s="133">
        <v>43009</v>
      </c>
      <c r="M2" s="133">
        <v>43040</v>
      </c>
      <c r="N2" s="133">
        <v>43070</v>
      </c>
      <c r="O2" s="133">
        <v>43101</v>
      </c>
      <c r="P2" s="133">
        <v>43132</v>
      </c>
      <c r="Q2" s="133">
        <v>43160</v>
      </c>
      <c r="R2" s="133">
        <v>43191</v>
      </c>
      <c r="S2" s="133">
        <v>43221</v>
      </c>
      <c r="T2" s="133">
        <v>43252</v>
      </c>
      <c r="U2" s="133">
        <v>43282</v>
      </c>
      <c r="V2" s="133">
        <v>43313</v>
      </c>
      <c r="W2" s="133">
        <v>43344</v>
      </c>
      <c r="X2" s="133">
        <v>43374</v>
      </c>
      <c r="Y2" s="133">
        <v>43405</v>
      </c>
      <c r="Z2" s="133">
        <v>43435</v>
      </c>
      <c r="AA2" s="133">
        <v>43466</v>
      </c>
      <c r="AB2" s="133">
        <v>43497</v>
      </c>
      <c r="AC2" s="133">
        <v>43525</v>
      </c>
      <c r="AD2" s="133">
        <v>43556</v>
      </c>
      <c r="AE2" s="133">
        <v>43586</v>
      </c>
      <c r="AF2" s="133">
        <v>43617</v>
      </c>
      <c r="AG2" s="133">
        <v>43647</v>
      </c>
      <c r="AH2" s="133">
        <v>43678</v>
      </c>
      <c r="AI2" s="133">
        <v>43709</v>
      </c>
      <c r="AJ2" s="133">
        <v>43739</v>
      </c>
      <c r="AK2" s="133">
        <v>43770</v>
      </c>
    </row>
    <row r="3" spans="1:37" s="132" customFormat="1">
      <c r="A3" s="132" t="s">
        <v>3</v>
      </c>
      <c r="B3" s="137"/>
      <c r="H3" s="143">
        <v>258937</v>
      </c>
      <c r="I3" s="132">
        <v>589070</v>
      </c>
      <c r="J3" s="132">
        <v>588993</v>
      </c>
      <c r="K3" s="132">
        <v>455626</v>
      </c>
      <c r="L3" s="132">
        <v>418993</v>
      </c>
      <c r="M3" s="132">
        <v>432960</v>
      </c>
      <c r="N3" s="132">
        <v>432960</v>
      </c>
      <c r="O3" s="132">
        <v>418993</v>
      </c>
      <c r="P3" s="132">
        <v>393879</v>
      </c>
      <c r="Q3" s="132">
        <v>321292</v>
      </c>
      <c r="R3" s="132">
        <v>332002</v>
      </c>
      <c r="S3" s="132">
        <v>332002</v>
      </c>
      <c r="T3" s="132">
        <v>273790</v>
      </c>
      <c r="U3" s="132">
        <v>303125</v>
      </c>
      <c r="V3" s="132">
        <v>293347</v>
      </c>
      <c r="W3" s="132">
        <v>303125</v>
      </c>
      <c r="X3" s="132">
        <v>293347</v>
      </c>
      <c r="Y3" s="132">
        <v>1163784</v>
      </c>
      <c r="Z3" s="132">
        <v>1719459</v>
      </c>
      <c r="AA3" s="132">
        <v>1696799</v>
      </c>
      <c r="AB3" s="132">
        <v>1753359</v>
      </c>
      <c r="AC3" s="132">
        <v>1696799</v>
      </c>
      <c r="AD3" s="132">
        <v>1753359</v>
      </c>
      <c r="AE3" s="132">
        <v>1753359</v>
      </c>
      <c r="AF3" s="132">
        <v>2181801</v>
      </c>
      <c r="AG3" s="132">
        <v>2361917</v>
      </c>
      <c r="AH3" s="132">
        <v>2285726</v>
      </c>
      <c r="AI3" s="132">
        <v>2250353</v>
      </c>
      <c r="AJ3" s="132">
        <v>1679055</v>
      </c>
      <c r="AK3" s="132">
        <v>2391794</v>
      </c>
    </row>
    <row r="4" spans="1:37">
      <c r="A4" s="46" t="s">
        <v>211</v>
      </c>
      <c r="C4" s="46" t="s">
        <v>167</v>
      </c>
      <c r="H4" s="139">
        <v>91188</v>
      </c>
      <c r="I4" s="46">
        <v>100958</v>
      </c>
      <c r="J4" s="46">
        <v>97701</v>
      </c>
      <c r="K4" s="46">
        <v>100958</v>
      </c>
      <c r="L4" s="46">
        <v>97701</v>
      </c>
      <c r="M4" s="46">
        <v>100958</v>
      </c>
      <c r="N4" s="46">
        <v>100958</v>
      </c>
      <c r="O4" s="46">
        <v>97701</v>
      </c>
      <c r="P4" s="46">
        <v>61877</v>
      </c>
    </row>
    <row r="5" spans="1:37">
      <c r="A5" s="46" t="s">
        <v>212</v>
      </c>
      <c r="C5" s="46" t="s">
        <v>101</v>
      </c>
      <c r="H5" s="139">
        <v>141667</v>
      </c>
      <c r="I5" s="46">
        <v>175667</v>
      </c>
      <c r="J5" s="46">
        <v>170000</v>
      </c>
      <c r="K5" s="46">
        <v>22667</v>
      </c>
    </row>
    <row r="6" spans="1:37">
      <c r="A6" s="46" t="s">
        <v>213</v>
      </c>
      <c r="C6" s="46" t="s">
        <v>172</v>
      </c>
      <c r="I6" s="46">
        <v>197087</v>
      </c>
      <c r="J6" s="46">
        <v>203883</v>
      </c>
      <c r="K6" s="46">
        <v>210680</v>
      </c>
      <c r="L6" s="46">
        <v>203883</v>
      </c>
      <c r="M6" s="46">
        <v>210680</v>
      </c>
      <c r="N6" s="46">
        <v>210680</v>
      </c>
      <c r="O6" s="46">
        <v>203883</v>
      </c>
      <c r="P6" s="46">
        <v>210680</v>
      </c>
      <c r="Q6" s="46">
        <v>203883</v>
      </c>
      <c r="R6" s="46">
        <v>210680</v>
      </c>
      <c r="S6" s="46">
        <v>210680</v>
      </c>
      <c r="T6" s="46">
        <v>190291</v>
      </c>
      <c r="U6" s="46">
        <v>210680</v>
      </c>
      <c r="V6" s="46">
        <v>203883</v>
      </c>
      <c r="W6" s="46">
        <v>210680</v>
      </c>
      <c r="X6" s="46">
        <v>203883</v>
      </c>
      <c r="Y6" s="46">
        <v>203883</v>
      </c>
    </row>
    <row r="7" spans="1:37">
      <c r="A7" s="46" t="s">
        <v>214</v>
      </c>
      <c r="C7" s="46" t="s">
        <v>174</v>
      </c>
      <c r="I7" s="46">
        <v>86481</v>
      </c>
      <c r="J7" s="46">
        <v>89463</v>
      </c>
      <c r="K7" s="46">
        <v>92445</v>
      </c>
      <c r="L7" s="46">
        <v>89463</v>
      </c>
      <c r="M7" s="46">
        <v>92445</v>
      </c>
      <c r="N7" s="46">
        <v>92445</v>
      </c>
      <c r="O7" s="46">
        <v>89463</v>
      </c>
      <c r="P7" s="46">
        <v>92445</v>
      </c>
      <c r="Q7" s="46">
        <v>89463</v>
      </c>
      <c r="R7" s="46">
        <v>92445</v>
      </c>
      <c r="S7" s="46">
        <v>92445</v>
      </c>
      <c r="T7" s="46">
        <v>83499</v>
      </c>
      <c r="U7" s="46">
        <v>92445</v>
      </c>
      <c r="V7" s="46">
        <v>89463</v>
      </c>
      <c r="W7" s="46">
        <v>92445</v>
      </c>
      <c r="X7" s="46">
        <v>89463</v>
      </c>
      <c r="Y7" s="46">
        <v>53678</v>
      </c>
    </row>
    <row r="8" spans="1:37">
      <c r="A8" s="46" t="s">
        <v>215</v>
      </c>
      <c r="C8" s="46" t="s">
        <v>153</v>
      </c>
      <c r="H8" s="139">
        <v>26082</v>
      </c>
      <c r="I8" s="46">
        <v>28877</v>
      </c>
      <c r="J8" s="46">
        <v>27945</v>
      </c>
      <c r="K8" s="46">
        <v>28877</v>
      </c>
      <c r="L8" s="46">
        <v>27945</v>
      </c>
      <c r="M8" s="46">
        <v>28877</v>
      </c>
      <c r="N8" s="46">
        <v>28877</v>
      </c>
      <c r="O8" s="46">
        <v>27945</v>
      </c>
      <c r="P8" s="46">
        <v>28877</v>
      </c>
      <c r="Q8" s="46">
        <v>27945</v>
      </c>
      <c r="R8" s="46">
        <v>28877</v>
      </c>
      <c r="S8" s="46">
        <v>28877</v>
      </c>
    </row>
    <row r="9" spans="1:37">
      <c r="A9" s="46" t="s">
        <v>216</v>
      </c>
      <c r="C9" s="46" t="s">
        <v>111</v>
      </c>
      <c r="Y9" s="46">
        <v>56535</v>
      </c>
      <c r="Z9" s="46">
        <v>56535</v>
      </c>
      <c r="AA9" s="46">
        <v>54711</v>
      </c>
      <c r="AB9" s="46">
        <v>56535</v>
      </c>
      <c r="AC9" s="46">
        <v>54711</v>
      </c>
      <c r="AD9" s="46">
        <v>56535</v>
      </c>
      <c r="AE9" s="46">
        <v>56535</v>
      </c>
      <c r="AF9" s="46">
        <v>51064</v>
      </c>
      <c r="AG9" s="46">
        <v>56535</v>
      </c>
      <c r="AH9" s="46">
        <v>54711</v>
      </c>
      <c r="AI9" s="46">
        <v>45593</v>
      </c>
    </row>
    <row r="10" spans="1:37">
      <c r="A10" s="46" t="s">
        <v>217</v>
      </c>
      <c r="C10" s="46" t="s">
        <v>134</v>
      </c>
      <c r="Y10" s="46">
        <v>178882</v>
      </c>
      <c r="Z10" s="46">
        <v>231056</v>
      </c>
      <c r="AA10" s="46">
        <v>223602</v>
      </c>
      <c r="AB10" s="46">
        <v>231056</v>
      </c>
      <c r="AC10" s="46">
        <v>223602</v>
      </c>
      <c r="AD10" s="46">
        <v>231056</v>
      </c>
      <c r="AE10" s="46">
        <v>231056</v>
      </c>
      <c r="AF10" s="46">
        <v>208696</v>
      </c>
      <c r="AG10" s="46">
        <v>231056</v>
      </c>
      <c r="AH10" s="46">
        <v>223602</v>
      </c>
      <c r="AI10" s="46">
        <v>186335</v>
      </c>
    </row>
    <row r="11" spans="1:37">
      <c r="A11" s="46" t="s">
        <v>218</v>
      </c>
      <c r="C11" s="46" t="s">
        <v>112</v>
      </c>
      <c r="Y11" s="46">
        <v>223602</v>
      </c>
      <c r="Z11" s="46">
        <v>288820</v>
      </c>
      <c r="AA11" s="46">
        <v>279503</v>
      </c>
      <c r="AB11" s="46">
        <v>288820</v>
      </c>
      <c r="AC11" s="46">
        <v>279503</v>
      </c>
      <c r="AD11" s="46">
        <v>288820</v>
      </c>
      <c r="AE11" s="46">
        <v>288820</v>
      </c>
      <c r="AF11" s="46">
        <v>260870</v>
      </c>
      <c r="AG11" s="46">
        <v>288820</v>
      </c>
      <c r="AH11" s="46">
        <v>279503</v>
      </c>
      <c r="AI11" s="46">
        <v>232919</v>
      </c>
    </row>
    <row r="12" spans="1:37">
      <c r="A12" s="46" t="s">
        <v>219</v>
      </c>
      <c r="C12" s="46" t="s">
        <v>104</v>
      </c>
      <c r="Y12" s="46">
        <v>60345</v>
      </c>
      <c r="Z12" s="46">
        <v>89080</v>
      </c>
      <c r="AA12" s="46">
        <v>86207</v>
      </c>
      <c r="AB12" s="46">
        <v>89080</v>
      </c>
      <c r="AC12" s="46">
        <v>86207</v>
      </c>
      <c r="AD12" s="46">
        <v>89080</v>
      </c>
      <c r="AE12" s="46">
        <v>89080</v>
      </c>
      <c r="AF12" s="46">
        <v>80460</v>
      </c>
      <c r="AG12" s="46">
        <v>89080</v>
      </c>
      <c r="AH12" s="46">
        <v>86207</v>
      </c>
      <c r="AI12" s="46">
        <v>89080</v>
      </c>
      <c r="AJ12" s="46">
        <v>66092</v>
      </c>
    </row>
    <row r="13" spans="1:37">
      <c r="A13" s="46" t="s">
        <v>220</v>
      </c>
      <c r="C13" s="46" t="s">
        <v>113</v>
      </c>
      <c r="Y13" s="46">
        <v>57478</v>
      </c>
      <c r="Z13" s="46">
        <v>127273</v>
      </c>
      <c r="AA13" s="46">
        <v>123167</v>
      </c>
      <c r="AB13" s="46">
        <v>127273</v>
      </c>
      <c r="AC13" s="46">
        <v>123167</v>
      </c>
      <c r="AD13" s="46">
        <v>127273</v>
      </c>
      <c r="AE13" s="46">
        <v>127273</v>
      </c>
      <c r="AF13" s="46">
        <v>114956</v>
      </c>
      <c r="AG13" s="46">
        <v>127273</v>
      </c>
      <c r="AH13" s="46">
        <v>123167</v>
      </c>
      <c r="AI13" s="46">
        <v>127273</v>
      </c>
      <c r="AJ13" s="46">
        <v>94428</v>
      </c>
    </row>
    <row r="14" spans="1:37">
      <c r="A14" s="46" t="s">
        <v>221</v>
      </c>
      <c r="C14" s="46" t="s">
        <v>114</v>
      </c>
      <c r="Y14" s="46">
        <v>82345</v>
      </c>
      <c r="Z14" s="46">
        <v>196361</v>
      </c>
      <c r="AA14" s="46">
        <v>190027</v>
      </c>
      <c r="AB14" s="46">
        <v>196361</v>
      </c>
      <c r="AC14" s="46">
        <v>190027</v>
      </c>
      <c r="AD14" s="46">
        <v>196361</v>
      </c>
      <c r="AE14" s="46">
        <v>196361</v>
      </c>
      <c r="AF14" s="46">
        <v>177358</v>
      </c>
      <c r="AG14" s="46">
        <v>196361</v>
      </c>
      <c r="AH14" s="46">
        <v>190027</v>
      </c>
      <c r="AI14" s="46">
        <v>196361</v>
      </c>
      <c r="AJ14" s="46">
        <v>190027</v>
      </c>
      <c r="AK14" s="46">
        <v>152022</v>
      </c>
    </row>
    <row r="15" spans="1:37">
      <c r="A15" s="46" t="s">
        <v>222</v>
      </c>
      <c r="C15" s="46" t="s">
        <v>115</v>
      </c>
      <c r="Y15" s="46">
        <v>82345</v>
      </c>
      <c r="Z15" s="46">
        <v>196361</v>
      </c>
      <c r="AA15" s="46">
        <v>190027</v>
      </c>
      <c r="AB15" s="46">
        <v>196361</v>
      </c>
      <c r="AC15" s="46">
        <v>190027</v>
      </c>
      <c r="AD15" s="46">
        <v>196361</v>
      </c>
      <c r="AE15" s="46">
        <v>196361</v>
      </c>
      <c r="AF15" s="46">
        <v>177358</v>
      </c>
      <c r="AG15" s="46">
        <v>196361</v>
      </c>
      <c r="AH15" s="46">
        <v>190027</v>
      </c>
      <c r="AI15" s="46">
        <v>196361</v>
      </c>
      <c r="AJ15" s="46">
        <v>190027</v>
      </c>
      <c r="AK15" s="46">
        <v>152022</v>
      </c>
    </row>
    <row r="16" spans="1:37">
      <c r="A16" s="46" t="s">
        <v>223</v>
      </c>
      <c r="C16" s="46" t="s">
        <v>117</v>
      </c>
      <c r="Y16" s="46">
        <v>82345</v>
      </c>
      <c r="Z16" s="46">
        <v>196361</v>
      </c>
      <c r="AA16" s="46">
        <v>190027</v>
      </c>
      <c r="AB16" s="46">
        <v>196361</v>
      </c>
      <c r="AC16" s="46">
        <v>190027</v>
      </c>
      <c r="AD16" s="46">
        <v>196361</v>
      </c>
      <c r="AE16" s="46">
        <v>196361</v>
      </c>
      <c r="AF16" s="46">
        <v>177358</v>
      </c>
      <c r="AG16" s="46">
        <v>196361</v>
      </c>
      <c r="AH16" s="46">
        <v>190027</v>
      </c>
      <c r="AI16" s="46">
        <v>196361</v>
      </c>
      <c r="AJ16" s="46">
        <v>190027</v>
      </c>
      <c r="AK16" s="46">
        <v>152022</v>
      </c>
    </row>
    <row r="17" spans="1:37">
      <c r="A17" s="46" t="s">
        <v>224</v>
      </c>
      <c r="C17" s="46" t="s">
        <v>116</v>
      </c>
      <c r="Y17" s="46">
        <v>82345</v>
      </c>
      <c r="Z17" s="46">
        <v>196361</v>
      </c>
      <c r="AA17" s="46">
        <v>190027</v>
      </c>
      <c r="AB17" s="46">
        <v>196361</v>
      </c>
      <c r="AC17" s="46">
        <v>190027</v>
      </c>
      <c r="AD17" s="46">
        <v>196361</v>
      </c>
      <c r="AE17" s="46">
        <v>196361</v>
      </c>
      <c r="AF17" s="46">
        <v>177358</v>
      </c>
      <c r="AG17" s="46">
        <v>196361</v>
      </c>
      <c r="AH17" s="46">
        <v>190027</v>
      </c>
      <c r="AI17" s="46">
        <v>196361</v>
      </c>
      <c r="AJ17" s="46">
        <v>190027</v>
      </c>
      <c r="AK17" s="46">
        <v>152022</v>
      </c>
    </row>
    <row r="18" spans="1:37">
      <c r="A18" s="46" t="s">
        <v>225</v>
      </c>
      <c r="C18" s="46" t="s">
        <v>198</v>
      </c>
      <c r="Z18" s="46">
        <v>141250</v>
      </c>
      <c r="AA18" s="46">
        <v>169500</v>
      </c>
      <c r="AB18" s="46">
        <v>175150</v>
      </c>
      <c r="AC18" s="46">
        <v>169500</v>
      </c>
      <c r="AD18" s="46">
        <v>175150</v>
      </c>
      <c r="AE18" s="46">
        <v>175150</v>
      </c>
      <c r="AF18" s="46">
        <v>124300</v>
      </c>
    </row>
    <row r="19" spans="1:37">
      <c r="A19" s="46" t="s">
        <v>226</v>
      </c>
      <c r="C19" s="46" t="s">
        <v>118</v>
      </c>
      <c r="AF19" s="46">
        <v>632022</v>
      </c>
      <c r="AG19" s="46">
        <v>783708</v>
      </c>
      <c r="AH19" s="46">
        <v>758427</v>
      </c>
      <c r="AI19" s="46">
        <v>783708</v>
      </c>
      <c r="AJ19" s="46">
        <v>758427</v>
      </c>
      <c r="AK19" s="46">
        <v>783708</v>
      </c>
    </row>
    <row r="20" spans="1:37">
      <c r="A20" s="46" t="s">
        <v>227</v>
      </c>
      <c r="C20" s="46" t="s">
        <v>194</v>
      </c>
      <c r="AK20" s="46">
        <v>1000000</v>
      </c>
    </row>
    <row r="24" spans="1:37">
      <c r="A24" s="129" t="s">
        <v>235</v>
      </c>
      <c r="B24" s="135"/>
    </row>
    <row r="25" spans="1:37" s="132" customFormat="1">
      <c r="A25" s="132" t="s">
        <v>7</v>
      </c>
      <c r="B25" s="137"/>
      <c r="C25" s="132" t="s">
        <v>8</v>
      </c>
      <c r="D25" s="133">
        <v>42767</v>
      </c>
      <c r="E25" s="133">
        <v>42795</v>
      </c>
      <c r="F25" s="133">
        <v>42826</v>
      </c>
      <c r="G25" s="133">
        <v>42856</v>
      </c>
      <c r="H25" s="142">
        <v>42887</v>
      </c>
      <c r="I25" s="133">
        <v>42917</v>
      </c>
      <c r="J25" s="133">
        <v>42948</v>
      </c>
      <c r="K25" s="133">
        <v>42979</v>
      </c>
      <c r="L25" s="133">
        <v>43009</v>
      </c>
      <c r="M25" s="133">
        <v>43040</v>
      </c>
      <c r="N25" s="133">
        <v>43070</v>
      </c>
      <c r="O25" s="133">
        <v>43101</v>
      </c>
      <c r="P25" s="133">
        <v>43132</v>
      </c>
      <c r="Q25" s="133">
        <v>43160</v>
      </c>
      <c r="R25" s="133">
        <v>43191</v>
      </c>
      <c r="S25" s="133">
        <v>43221</v>
      </c>
      <c r="T25" s="133">
        <v>43252</v>
      </c>
      <c r="U25" s="133">
        <v>43282</v>
      </c>
      <c r="V25" s="133">
        <v>43313</v>
      </c>
      <c r="W25" s="133">
        <v>43344</v>
      </c>
      <c r="X25" s="133">
        <v>43374</v>
      </c>
      <c r="Y25" s="133">
        <v>43405</v>
      </c>
      <c r="Z25" s="133">
        <v>43435</v>
      </c>
      <c r="AA25" s="133">
        <v>43466</v>
      </c>
      <c r="AB25" s="133">
        <v>43497</v>
      </c>
      <c r="AC25" s="133">
        <v>43525</v>
      </c>
      <c r="AD25" s="133">
        <v>43556</v>
      </c>
      <c r="AE25" s="133">
        <v>43586</v>
      </c>
      <c r="AF25" s="133">
        <v>43617</v>
      </c>
      <c r="AG25" s="133">
        <v>43647</v>
      </c>
      <c r="AH25" s="133">
        <v>43678</v>
      </c>
      <c r="AI25" s="133">
        <v>43709</v>
      </c>
      <c r="AJ25" s="133">
        <v>43739</v>
      </c>
      <c r="AK25" s="133">
        <v>43770</v>
      </c>
    </row>
    <row r="26" spans="1:37" s="132" customFormat="1">
      <c r="A26" s="132" t="s">
        <v>3</v>
      </c>
      <c r="B26" s="137"/>
      <c r="H26" s="143">
        <f>SUM($H3:H3)</f>
        <v>258937</v>
      </c>
      <c r="I26" s="132">
        <f>SUM($H3:I3)</f>
        <v>848007</v>
      </c>
      <c r="J26" s="132">
        <f>SUM($H3:J3)</f>
        <v>1437000</v>
      </c>
      <c r="K26" s="132">
        <f>SUM($H3:K3)</f>
        <v>1892626</v>
      </c>
      <c r="L26" s="132">
        <f>SUM($H3:L3)</f>
        <v>2311619</v>
      </c>
      <c r="M26" s="132">
        <f>SUM($H3:M3)</f>
        <v>2744579</v>
      </c>
      <c r="N26" s="132">
        <f>SUM($H3:N3)</f>
        <v>3177539</v>
      </c>
      <c r="O26" s="132">
        <f>SUM($H3:O3)</f>
        <v>3596532</v>
      </c>
      <c r="P26" s="132">
        <f>SUM($H3:P3)</f>
        <v>3990411</v>
      </c>
      <c r="Q26" s="132">
        <f>SUM($H3:Q3)</f>
        <v>4311703</v>
      </c>
      <c r="R26" s="132">
        <f>SUM($H3:R3)</f>
        <v>4643705</v>
      </c>
      <c r="S26" s="132">
        <f>SUM($H3:S3)</f>
        <v>4975707</v>
      </c>
      <c r="T26" s="132">
        <f>SUM($H3:T3)</f>
        <v>5249497</v>
      </c>
      <c r="U26" s="132">
        <f>SUM($H3:U3)</f>
        <v>5552622</v>
      </c>
      <c r="V26" s="132">
        <f>SUM($H3:V3)</f>
        <v>5845969</v>
      </c>
      <c r="W26" s="132">
        <f>SUM($H3:W3)</f>
        <v>6149094</v>
      </c>
      <c r="X26" s="132">
        <f>SUM($H3:X3)</f>
        <v>6442441</v>
      </c>
      <c r="Y26" s="132">
        <f>SUM($H3:Y3)</f>
        <v>7606225</v>
      </c>
      <c r="Z26" s="132">
        <f>SUM($H3:Z3)</f>
        <v>9325684</v>
      </c>
      <c r="AA26" s="132">
        <f>SUM($H3:AA3)</f>
        <v>11022483</v>
      </c>
      <c r="AB26" s="132">
        <f>SUM($H3:AB3)</f>
        <v>12775842</v>
      </c>
      <c r="AC26" s="132">
        <f>SUM($H3:AC3)</f>
        <v>14472641</v>
      </c>
      <c r="AD26" s="132">
        <f>SUM($H3:AD3)</f>
        <v>16226000</v>
      </c>
      <c r="AE26" s="132">
        <f>SUM($H3:AE3)</f>
        <v>17979359</v>
      </c>
      <c r="AF26" s="132">
        <f>SUM($H3:AF3)</f>
        <v>20161160</v>
      </c>
      <c r="AG26" s="132">
        <f>SUM($H3:AG3)</f>
        <v>22523077</v>
      </c>
      <c r="AH26" s="132">
        <f>SUM($H3:AH3)</f>
        <v>24808803</v>
      </c>
      <c r="AI26" s="132">
        <f>SUM($H3:AI3)</f>
        <v>27059156</v>
      </c>
      <c r="AJ26" s="132">
        <f>SUM($H3:AJ3)</f>
        <v>28738211</v>
      </c>
      <c r="AK26" s="132">
        <f>SUM($H3:AK3)</f>
        <v>31130005</v>
      </c>
    </row>
    <row r="27" spans="1:37">
      <c r="A27" s="46" t="s">
        <v>211</v>
      </c>
      <c r="C27" s="46" t="s">
        <v>167</v>
      </c>
      <c r="H27" s="139">
        <f>SUM($H4:H4)</f>
        <v>91188</v>
      </c>
      <c r="I27" s="46">
        <f>SUM($H4:I4)</f>
        <v>192146</v>
      </c>
      <c r="J27" s="46">
        <f>SUM($H4:J4)</f>
        <v>289847</v>
      </c>
      <c r="K27" s="46">
        <f>SUM($H4:K4)</f>
        <v>390805</v>
      </c>
      <c r="L27" s="46">
        <f>SUM($H4:L4)</f>
        <v>488506</v>
      </c>
      <c r="M27" s="46">
        <f>SUM($H4:M4)</f>
        <v>589464</v>
      </c>
      <c r="N27" s="46">
        <f>SUM($H4:N4)</f>
        <v>690422</v>
      </c>
      <c r="O27" s="46">
        <f>SUM($H4:O4)</f>
        <v>788123</v>
      </c>
      <c r="P27" s="46">
        <f>SUM($H4:P4)</f>
        <v>850000</v>
      </c>
      <c r="Q27" s="46">
        <f>SUM($H4:Q4)</f>
        <v>850000</v>
      </c>
      <c r="R27" s="46">
        <f>SUM($H4:R4)</f>
        <v>850000</v>
      </c>
      <c r="S27" s="46">
        <f>SUM($H4:S4)</f>
        <v>850000</v>
      </c>
      <c r="T27" s="46">
        <f>SUM($H4:T4)</f>
        <v>850000</v>
      </c>
      <c r="U27" s="46">
        <f>SUM($H4:U4)</f>
        <v>850000</v>
      </c>
      <c r="V27" s="46">
        <f>SUM($H4:V4)</f>
        <v>850000</v>
      </c>
      <c r="W27" s="46">
        <f>SUM($H4:W4)</f>
        <v>850000</v>
      </c>
      <c r="X27" s="46">
        <f>SUM($H4:X4)</f>
        <v>850000</v>
      </c>
      <c r="Y27" s="46">
        <f>SUM($H4:Y4)</f>
        <v>850000</v>
      </c>
      <c r="Z27" s="46">
        <f>SUM($H4:Z4)</f>
        <v>850000</v>
      </c>
      <c r="AA27" s="46">
        <f>SUM($H4:AA4)</f>
        <v>850000</v>
      </c>
      <c r="AB27" s="46">
        <f>SUM($H4:AB4)</f>
        <v>850000</v>
      </c>
      <c r="AC27" s="46">
        <f>SUM($H4:AC4)</f>
        <v>850000</v>
      </c>
      <c r="AD27" s="46">
        <f>SUM($H4:AD4)</f>
        <v>850000</v>
      </c>
      <c r="AE27" s="46">
        <f>SUM($H4:AE4)</f>
        <v>850000</v>
      </c>
      <c r="AF27" s="46">
        <f>SUM($H4:AF4)</f>
        <v>850000</v>
      </c>
      <c r="AG27" s="46">
        <f>SUM($H4:AG4)</f>
        <v>850000</v>
      </c>
      <c r="AH27" s="46">
        <f>SUM($H4:AH4)</f>
        <v>850000</v>
      </c>
      <c r="AI27" s="46">
        <f>SUM($H4:AI4)</f>
        <v>850000</v>
      </c>
      <c r="AJ27" s="46">
        <f>SUM($H4:AJ4)</f>
        <v>850000</v>
      </c>
      <c r="AK27" s="46">
        <f>SUM($H4:AK4)</f>
        <v>850000</v>
      </c>
    </row>
    <row r="28" spans="1:37">
      <c r="A28" s="46" t="s">
        <v>212</v>
      </c>
      <c r="C28" s="46" t="s">
        <v>101</v>
      </c>
      <c r="H28" s="139">
        <f>SUM($H5:H5)</f>
        <v>141667</v>
      </c>
      <c r="I28" s="46">
        <f>SUM($H5:I5)</f>
        <v>317334</v>
      </c>
      <c r="J28" s="46">
        <f>SUM($H5:J5)</f>
        <v>487334</v>
      </c>
      <c r="K28" s="46">
        <f>SUM($H5:K5)</f>
        <v>510001</v>
      </c>
      <c r="L28" s="46">
        <f>SUM($H5:L5)</f>
        <v>510001</v>
      </c>
      <c r="M28" s="46">
        <f>SUM($H5:M5)</f>
        <v>510001</v>
      </c>
      <c r="N28" s="46">
        <f>SUM($H5:N5)</f>
        <v>510001</v>
      </c>
      <c r="O28" s="46">
        <f>SUM($H5:O5)</f>
        <v>510001</v>
      </c>
      <c r="P28" s="46">
        <f>SUM($H5:P5)</f>
        <v>510001</v>
      </c>
      <c r="Q28" s="46">
        <f>SUM($H5:Q5)</f>
        <v>510001</v>
      </c>
      <c r="R28" s="46">
        <f>SUM($H5:R5)</f>
        <v>510001</v>
      </c>
      <c r="S28" s="46">
        <f>SUM($H5:S5)</f>
        <v>510001</v>
      </c>
      <c r="T28" s="46">
        <f>SUM($H5:T5)</f>
        <v>510001</v>
      </c>
      <c r="U28" s="46">
        <f>SUM($H5:U5)</f>
        <v>510001</v>
      </c>
      <c r="V28" s="46">
        <f>SUM($H5:V5)</f>
        <v>510001</v>
      </c>
      <c r="W28" s="46">
        <f>SUM($H5:W5)</f>
        <v>510001</v>
      </c>
      <c r="X28" s="46">
        <f>SUM($H5:X5)</f>
        <v>510001</v>
      </c>
      <c r="Y28" s="46">
        <f>SUM($H5:Y5)</f>
        <v>510001</v>
      </c>
      <c r="Z28" s="46">
        <f>SUM($H5:Z5)</f>
        <v>510001</v>
      </c>
      <c r="AA28" s="46">
        <f>SUM($H5:AA5)</f>
        <v>510001</v>
      </c>
      <c r="AB28" s="46">
        <f>SUM($H5:AB5)</f>
        <v>510001</v>
      </c>
      <c r="AC28" s="46">
        <f>SUM($H5:AC5)</f>
        <v>510001</v>
      </c>
      <c r="AD28" s="46">
        <f>SUM($H5:AD5)</f>
        <v>510001</v>
      </c>
      <c r="AE28" s="46">
        <f>SUM($H5:AE5)</f>
        <v>510001</v>
      </c>
      <c r="AF28" s="46">
        <f>SUM($H5:AF5)</f>
        <v>510001</v>
      </c>
      <c r="AG28" s="46">
        <f>SUM($H5:AG5)</f>
        <v>510001</v>
      </c>
      <c r="AH28" s="46">
        <f>SUM($H5:AH5)</f>
        <v>510001</v>
      </c>
      <c r="AI28" s="46">
        <f>SUM($H5:AI5)</f>
        <v>510001</v>
      </c>
      <c r="AJ28" s="46">
        <f>SUM($H5:AJ5)</f>
        <v>510001</v>
      </c>
      <c r="AK28" s="46">
        <f>SUM($H5:AK5)</f>
        <v>510001</v>
      </c>
    </row>
    <row r="29" spans="1:37">
      <c r="A29" s="46" t="s">
        <v>213</v>
      </c>
      <c r="C29" s="46" t="s">
        <v>172</v>
      </c>
      <c r="H29" s="139">
        <f>SUM($H6:H6)</f>
        <v>0</v>
      </c>
      <c r="I29" s="46">
        <f>SUM($H6:I6)</f>
        <v>197087</v>
      </c>
      <c r="J29" s="46">
        <f>SUM($H6:J6)</f>
        <v>400970</v>
      </c>
      <c r="K29" s="46">
        <f>SUM($H6:K6)</f>
        <v>611650</v>
      </c>
      <c r="L29" s="46">
        <f>SUM($H6:L6)</f>
        <v>815533</v>
      </c>
      <c r="M29" s="46">
        <f>SUM($H6:M6)</f>
        <v>1026213</v>
      </c>
      <c r="N29" s="46">
        <f>SUM($H6:N6)</f>
        <v>1236893</v>
      </c>
      <c r="O29" s="46">
        <f>SUM($H6:O6)</f>
        <v>1440776</v>
      </c>
      <c r="P29" s="46">
        <f>SUM($H6:P6)</f>
        <v>1651456</v>
      </c>
      <c r="Q29" s="46">
        <f>SUM($H6:Q6)</f>
        <v>1855339</v>
      </c>
      <c r="R29" s="46">
        <f>SUM($H6:R6)</f>
        <v>2066019</v>
      </c>
      <c r="S29" s="46">
        <f>SUM($H6:S6)</f>
        <v>2276699</v>
      </c>
      <c r="T29" s="46">
        <f>SUM($H6:T6)</f>
        <v>2466990</v>
      </c>
      <c r="U29" s="46">
        <f>SUM($H6:U6)</f>
        <v>2677670</v>
      </c>
      <c r="V29" s="46">
        <f>SUM($H6:V6)</f>
        <v>2881553</v>
      </c>
      <c r="W29" s="46">
        <f>SUM($H6:W6)</f>
        <v>3092233</v>
      </c>
      <c r="X29" s="46">
        <f>SUM($H6:X6)</f>
        <v>3296116</v>
      </c>
      <c r="Y29" s="46">
        <f>SUM($H6:Y6)</f>
        <v>3499999</v>
      </c>
      <c r="Z29" s="46">
        <f>SUM($H6:Z6)</f>
        <v>3499999</v>
      </c>
      <c r="AA29" s="46">
        <f>SUM($H6:AA6)</f>
        <v>3499999</v>
      </c>
      <c r="AB29" s="46">
        <f>SUM($H6:AB6)</f>
        <v>3499999</v>
      </c>
      <c r="AC29" s="46">
        <f>SUM($H6:AC6)</f>
        <v>3499999</v>
      </c>
      <c r="AD29" s="46">
        <f>SUM($H6:AD6)</f>
        <v>3499999</v>
      </c>
      <c r="AE29" s="46">
        <f>SUM($H6:AE6)</f>
        <v>3499999</v>
      </c>
      <c r="AF29" s="46">
        <f>SUM($H6:AF6)</f>
        <v>3499999</v>
      </c>
      <c r="AG29" s="46">
        <f>SUM($H6:AG6)</f>
        <v>3499999</v>
      </c>
      <c r="AH29" s="46">
        <f>SUM($H6:AH6)</f>
        <v>3499999</v>
      </c>
      <c r="AI29" s="46">
        <f>SUM($H6:AI6)</f>
        <v>3499999</v>
      </c>
      <c r="AJ29" s="46">
        <f>SUM($H6:AJ6)</f>
        <v>3499999</v>
      </c>
      <c r="AK29" s="46">
        <f>SUM($H6:AK6)</f>
        <v>3499999</v>
      </c>
    </row>
    <row r="30" spans="1:37">
      <c r="A30" s="46" t="s">
        <v>214</v>
      </c>
      <c r="C30" s="46" t="s">
        <v>174</v>
      </c>
      <c r="H30" s="139">
        <f>SUM($H7:H7)</f>
        <v>0</v>
      </c>
      <c r="I30" s="46">
        <f>SUM($H7:I7)</f>
        <v>86481</v>
      </c>
      <c r="J30" s="46">
        <f>SUM($H7:J7)</f>
        <v>175944</v>
      </c>
      <c r="K30" s="46">
        <f>SUM($H7:K7)</f>
        <v>268389</v>
      </c>
      <c r="L30" s="46">
        <f>SUM($H7:L7)</f>
        <v>357852</v>
      </c>
      <c r="M30" s="46">
        <f>SUM($H7:M7)</f>
        <v>450297</v>
      </c>
      <c r="N30" s="46">
        <f>SUM($H7:N7)</f>
        <v>542742</v>
      </c>
      <c r="O30" s="46">
        <f>SUM($H7:O7)</f>
        <v>632205</v>
      </c>
      <c r="P30" s="46">
        <f>SUM($H7:P7)</f>
        <v>724650</v>
      </c>
      <c r="Q30" s="46">
        <f>SUM($H7:Q7)</f>
        <v>814113</v>
      </c>
      <c r="R30" s="46">
        <f>SUM($H7:R7)</f>
        <v>906558</v>
      </c>
      <c r="S30" s="46">
        <f>SUM($H7:S7)</f>
        <v>999003</v>
      </c>
      <c r="T30" s="46">
        <f>SUM($H7:T7)</f>
        <v>1082502</v>
      </c>
      <c r="U30" s="46">
        <f>SUM($H7:U7)</f>
        <v>1174947</v>
      </c>
      <c r="V30" s="46">
        <f>SUM($H7:V7)</f>
        <v>1264410</v>
      </c>
      <c r="W30" s="46">
        <f>SUM($H7:W7)</f>
        <v>1356855</v>
      </c>
      <c r="X30" s="46">
        <f>SUM($H7:X7)</f>
        <v>1446318</v>
      </c>
      <c r="Y30" s="46">
        <f>SUM($H7:Y7)</f>
        <v>1499996</v>
      </c>
      <c r="Z30" s="46">
        <f>SUM($H7:Z7)</f>
        <v>1499996</v>
      </c>
      <c r="AA30" s="46">
        <f>SUM($H7:AA7)</f>
        <v>1499996</v>
      </c>
      <c r="AB30" s="46">
        <f>SUM($H7:AB7)</f>
        <v>1499996</v>
      </c>
      <c r="AC30" s="46">
        <f>SUM($H7:AC7)</f>
        <v>1499996</v>
      </c>
      <c r="AD30" s="46">
        <f>SUM($H7:AD7)</f>
        <v>1499996</v>
      </c>
      <c r="AE30" s="46">
        <f>SUM($H7:AE7)</f>
        <v>1499996</v>
      </c>
      <c r="AF30" s="46">
        <f>SUM($H7:AF7)</f>
        <v>1499996</v>
      </c>
      <c r="AG30" s="46">
        <f>SUM($H7:AG7)</f>
        <v>1499996</v>
      </c>
      <c r="AH30" s="46">
        <f>SUM($H7:AH7)</f>
        <v>1499996</v>
      </c>
      <c r="AI30" s="46">
        <f>SUM($H7:AI7)</f>
        <v>1499996</v>
      </c>
      <c r="AJ30" s="46">
        <f>SUM($H7:AJ7)</f>
        <v>1499996</v>
      </c>
      <c r="AK30" s="46">
        <f>SUM($H7:AK7)</f>
        <v>1499996</v>
      </c>
    </row>
    <row r="31" spans="1:37">
      <c r="A31" s="46" t="s">
        <v>215</v>
      </c>
      <c r="C31" s="46" t="s">
        <v>153</v>
      </c>
      <c r="H31" s="139">
        <f>SUM($H8:H8)</f>
        <v>26082</v>
      </c>
      <c r="I31" s="46">
        <f>SUM($H8:I8)</f>
        <v>54959</v>
      </c>
      <c r="J31" s="46">
        <f>SUM($H8:J8)</f>
        <v>82904</v>
      </c>
      <c r="K31" s="46">
        <f>SUM($H8:K8)</f>
        <v>111781</v>
      </c>
      <c r="L31" s="46">
        <f>SUM($H8:L8)</f>
        <v>139726</v>
      </c>
      <c r="M31" s="46">
        <f>SUM($H8:M8)</f>
        <v>168603</v>
      </c>
      <c r="N31" s="46">
        <f>SUM($H8:N8)</f>
        <v>197480</v>
      </c>
      <c r="O31" s="46">
        <f>SUM($H8:O8)</f>
        <v>225425</v>
      </c>
      <c r="P31" s="46">
        <f>SUM($H8:P8)</f>
        <v>254302</v>
      </c>
      <c r="Q31" s="46">
        <f>SUM($H8:Q8)</f>
        <v>282247</v>
      </c>
      <c r="R31" s="46">
        <f>SUM($H8:R8)</f>
        <v>311124</v>
      </c>
      <c r="S31" s="46">
        <f>SUM($H8:S8)</f>
        <v>340001</v>
      </c>
      <c r="T31" s="46">
        <f>SUM($H8:T8)</f>
        <v>340001</v>
      </c>
      <c r="U31" s="46">
        <f>SUM($H8:U8)</f>
        <v>340001</v>
      </c>
      <c r="V31" s="46">
        <f>SUM($H8:V8)</f>
        <v>340001</v>
      </c>
      <c r="W31" s="46">
        <f>SUM($H8:W8)</f>
        <v>340001</v>
      </c>
      <c r="X31" s="46">
        <f>SUM($H8:X8)</f>
        <v>340001</v>
      </c>
      <c r="Y31" s="46">
        <f>SUM($H8:Y8)</f>
        <v>340001</v>
      </c>
      <c r="Z31" s="46">
        <f>SUM($H8:Z8)</f>
        <v>340001</v>
      </c>
      <c r="AA31" s="46">
        <f>SUM($H8:AA8)</f>
        <v>340001</v>
      </c>
      <c r="AB31" s="46">
        <f>SUM($H8:AB8)</f>
        <v>340001</v>
      </c>
      <c r="AC31" s="46">
        <f>SUM($H8:AC8)</f>
        <v>340001</v>
      </c>
      <c r="AD31" s="46">
        <f>SUM($H8:AD8)</f>
        <v>340001</v>
      </c>
      <c r="AE31" s="46">
        <f>SUM($H8:AE8)</f>
        <v>340001</v>
      </c>
      <c r="AF31" s="46">
        <f>SUM($H8:AF8)</f>
        <v>340001</v>
      </c>
      <c r="AG31" s="46">
        <f>SUM($H8:AG8)</f>
        <v>340001</v>
      </c>
      <c r="AH31" s="46">
        <f>SUM($H8:AH8)</f>
        <v>340001</v>
      </c>
      <c r="AI31" s="46">
        <f>SUM($H8:AI8)</f>
        <v>340001</v>
      </c>
      <c r="AJ31" s="46">
        <f>SUM($H8:AJ8)</f>
        <v>340001</v>
      </c>
      <c r="AK31" s="46">
        <f>SUM($H8:AK8)</f>
        <v>340001</v>
      </c>
    </row>
    <row r="32" spans="1:37">
      <c r="A32" s="46" t="s">
        <v>216</v>
      </c>
      <c r="C32" s="46" t="s">
        <v>111</v>
      </c>
      <c r="H32" s="139">
        <f>SUM($H9:H9)</f>
        <v>0</v>
      </c>
      <c r="I32" s="46">
        <f>SUM($H9:I9)</f>
        <v>0</v>
      </c>
      <c r="J32" s="46">
        <f>SUM($H9:J9)</f>
        <v>0</v>
      </c>
      <c r="K32" s="46">
        <f>SUM($H9:K9)</f>
        <v>0</v>
      </c>
      <c r="L32" s="46">
        <f>SUM($H9:L9)</f>
        <v>0</v>
      </c>
      <c r="M32" s="46">
        <f>SUM($H9:M9)</f>
        <v>0</v>
      </c>
      <c r="N32" s="46">
        <f>SUM($H9:N9)</f>
        <v>0</v>
      </c>
      <c r="O32" s="46">
        <f>SUM($H9:O9)</f>
        <v>0</v>
      </c>
      <c r="P32" s="46">
        <f>SUM($H9:P9)</f>
        <v>0</v>
      </c>
      <c r="Q32" s="46">
        <f>SUM($H9:Q9)</f>
        <v>0</v>
      </c>
      <c r="R32" s="46">
        <f>SUM($H9:R9)</f>
        <v>0</v>
      </c>
      <c r="S32" s="46">
        <f>SUM($H9:S9)</f>
        <v>0</v>
      </c>
      <c r="T32" s="46">
        <f>SUM($H9:T9)</f>
        <v>0</v>
      </c>
      <c r="U32" s="46">
        <f>SUM($H9:U9)</f>
        <v>0</v>
      </c>
      <c r="V32" s="46">
        <f>SUM($H9:V9)</f>
        <v>0</v>
      </c>
      <c r="W32" s="46">
        <f>SUM($H9:W9)</f>
        <v>0</v>
      </c>
      <c r="X32" s="46">
        <f>SUM($H9:X9)</f>
        <v>0</v>
      </c>
      <c r="Y32" s="46">
        <f>SUM($H9:Y9)</f>
        <v>56535</v>
      </c>
      <c r="Z32" s="46">
        <f>SUM($H9:Z9)</f>
        <v>113070</v>
      </c>
      <c r="AA32" s="46">
        <f>SUM($H9:AA9)</f>
        <v>167781</v>
      </c>
      <c r="AB32" s="46">
        <f>SUM($H9:AB9)</f>
        <v>224316</v>
      </c>
      <c r="AC32" s="46">
        <f>SUM($H9:AC9)</f>
        <v>279027</v>
      </c>
      <c r="AD32" s="46">
        <f>SUM($H9:AD9)</f>
        <v>335562</v>
      </c>
      <c r="AE32" s="46">
        <f>SUM($H9:AE9)</f>
        <v>392097</v>
      </c>
      <c r="AF32" s="46">
        <f>SUM($H9:AF9)</f>
        <v>443161</v>
      </c>
      <c r="AG32" s="46">
        <f>SUM($H9:AG9)</f>
        <v>499696</v>
      </c>
      <c r="AH32" s="46">
        <f>SUM($H9:AH9)</f>
        <v>554407</v>
      </c>
      <c r="AI32" s="46">
        <f>SUM($H9:AI9)</f>
        <v>600000</v>
      </c>
      <c r="AJ32" s="46">
        <f>SUM($H9:AJ9)</f>
        <v>600000</v>
      </c>
      <c r="AK32" s="46">
        <f>SUM($H9:AK9)</f>
        <v>600000</v>
      </c>
    </row>
    <row r="33" spans="1:37">
      <c r="A33" s="46" t="s">
        <v>217</v>
      </c>
      <c r="C33" s="46" t="s">
        <v>134</v>
      </c>
      <c r="H33" s="139">
        <f>SUM($H10:H10)</f>
        <v>0</v>
      </c>
      <c r="I33" s="46">
        <f>SUM($H10:I10)</f>
        <v>0</v>
      </c>
      <c r="J33" s="46">
        <f>SUM($H10:J10)</f>
        <v>0</v>
      </c>
      <c r="K33" s="46">
        <f>SUM($H10:K10)</f>
        <v>0</v>
      </c>
      <c r="L33" s="46">
        <f>SUM($H10:L10)</f>
        <v>0</v>
      </c>
      <c r="M33" s="46">
        <f>SUM($H10:M10)</f>
        <v>0</v>
      </c>
      <c r="N33" s="46">
        <f>SUM($H10:N10)</f>
        <v>0</v>
      </c>
      <c r="O33" s="46">
        <f>SUM($H10:O10)</f>
        <v>0</v>
      </c>
      <c r="P33" s="46">
        <f>SUM($H10:P10)</f>
        <v>0</v>
      </c>
      <c r="Q33" s="46">
        <f>SUM($H10:Q10)</f>
        <v>0</v>
      </c>
      <c r="R33" s="46">
        <f>SUM($H10:R10)</f>
        <v>0</v>
      </c>
      <c r="S33" s="46">
        <f>SUM($H10:S10)</f>
        <v>0</v>
      </c>
      <c r="T33" s="46">
        <f>SUM($H10:T10)</f>
        <v>0</v>
      </c>
      <c r="U33" s="46">
        <f>SUM($H10:U10)</f>
        <v>0</v>
      </c>
      <c r="V33" s="46">
        <f>SUM($H10:V10)</f>
        <v>0</v>
      </c>
      <c r="W33" s="46">
        <f>SUM($H10:W10)</f>
        <v>0</v>
      </c>
      <c r="X33" s="46">
        <f>SUM($H10:X10)</f>
        <v>0</v>
      </c>
      <c r="Y33" s="46">
        <f>SUM($H10:Y10)</f>
        <v>178882</v>
      </c>
      <c r="Z33" s="46">
        <f>SUM($H10:Z10)</f>
        <v>409938</v>
      </c>
      <c r="AA33" s="46">
        <f>SUM($H10:AA10)</f>
        <v>633540</v>
      </c>
      <c r="AB33" s="46">
        <f>SUM($H10:AB10)</f>
        <v>864596</v>
      </c>
      <c r="AC33" s="46">
        <f>SUM($H10:AC10)</f>
        <v>1088198</v>
      </c>
      <c r="AD33" s="46">
        <f>SUM($H10:AD10)</f>
        <v>1319254</v>
      </c>
      <c r="AE33" s="46">
        <f>SUM($H10:AE10)</f>
        <v>1550310</v>
      </c>
      <c r="AF33" s="46">
        <f>SUM($H10:AF10)</f>
        <v>1759006</v>
      </c>
      <c r="AG33" s="46">
        <f>SUM($H10:AG10)</f>
        <v>1990062</v>
      </c>
      <c r="AH33" s="46">
        <f>SUM($H10:AH10)</f>
        <v>2213664</v>
      </c>
      <c r="AI33" s="46">
        <f>SUM($H10:AI10)</f>
        <v>2399999</v>
      </c>
      <c r="AJ33" s="46">
        <f>SUM($H10:AJ10)</f>
        <v>2399999</v>
      </c>
      <c r="AK33" s="46">
        <f>SUM($H10:AK10)</f>
        <v>2399999</v>
      </c>
    </row>
    <row r="34" spans="1:37">
      <c r="A34" s="46" t="s">
        <v>218</v>
      </c>
      <c r="C34" s="46" t="s">
        <v>112</v>
      </c>
      <c r="H34" s="139">
        <f>SUM($H11:H11)</f>
        <v>0</v>
      </c>
      <c r="I34" s="46">
        <f>SUM($H11:I11)</f>
        <v>0</v>
      </c>
      <c r="J34" s="46">
        <f>SUM($H11:J11)</f>
        <v>0</v>
      </c>
      <c r="K34" s="46">
        <f>SUM($H11:K11)</f>
        <v>0</v>
      </c>
      <c r="L34" s="46">
        <f>SUM($H11:L11)</f>
        <v>0</v>
      </c>
      <c r="M34" s="46">
        <f>SUM($H11:M11)</f>
        <v>0</v>
      </c>
      <c r="N34" s="46">
        <f>SUM($H11:N11)</f>
        <v>0</v>
      </c>
      <c r="O34" s="46">
        <f>SUM($H11:O11)</f>
        <v>0</v>
      </c>
      <c r="P34" s="46">
        <f>SUM($H11:P11)</f>
        <v>0</v>
      </c>
      <c r="Q34" s="46">
        <f>SUM($H11:Q11)</f>
        <v>0</v>
      </c>
      <c r="R34" s="46">
        <f>SUM($H11:R11)</f>
        <v>0</v>
      </c>
      <c r="S34" s="46">
        <f>SUM($H11:S11)</f>
        <v>0</v>
      </c>
      <c r="T34" s="46">
        <f>SUM($H11:T11)</f>
        <v>0</v>
      </c>
      <c r="U34" s="46">
        <f>SUM($H11:U11)</f>
        <v>0</v>
      </c>
      <c r="V34" s="46">
        <f>SUM($H11:V11)</f>
        <v>0</v>
      </c>
      <c r="W34" s="46">
        <f>SUM($H11:W11)</f>
        <v>0</v>
      </c>
      <c r="X34" s="46">
        <f>SUM($H11:X11)</f>
        <v>0</v>
      </c>
      <c r="Y34" s="46">
        <f>SUM($H11:Y11)</f>
        <v>223602</v>
      </c>
      <c r="Z34" s="46">
        <f>SUM($H11:Z11)</f>
        <v>512422</v>
      </c>
      <c r="AA34" s="46">
        <f>SUM($H11:AA11)</f>
        <v>791925</v>
      </c>
      <c r="AB34" s="46">
        <f>SUM($H11:AB11)</f>
        <v>1080745</v>
      </c>
      <c r="AC34" s="46">
        <f>SUM($H11:AC11)</f>
        <v>1360248</v>
      </c>
      <c r="AD34" s="46">
        <f>SUM($H11:AD11)</f>
        <v>1649068</v>
      </c>
      <c r="AE34" s="46">
        <f>SUM($H11:AE11)</f>
        <v>1937888</v>
      </c>
      <c r="AF34" s="46">
        <f>SUM($H11:AF11)</f>
        <v>2198758</v>
      </c>
      <c r="AG34" s="46">
        <f>SUM($H11:AG11)</f>
        <v>2487578</v>
      </c>
      <c r="AH34" s="46">
        <f>SUM($H11:AH11)</f>
        <v>2767081</v>
      </c>
      <c r="AI34" s="46">
        <f>SUM($H11:AI11)</f>
        <v>3000000</v>
      </c>
      <c r="AJ34" s="46">
        <f>SUM($H11:AJ11)</f>
        <v>3000000</v>
      </c>
      <c r="AK34" s="46">
        <f>SUM($H11:AK11)</f>
        <v>3000000</v>
      </c>
    </row>
    <row r="35" spans="1:37">
      <c r="A35" s="46" t="s">
        <v>219</v>
      </c>
      <c r="C35" s="46" t="s">
        <v>104</v>
      </c>
      <c r="H35" s="139">
        <f>SUM($H12:H12)</f>
        <v>0</v>
      </c>
      <c r="I35" s="46">
        <f>SUM($H12:I12)</f>
        <v>0</v>
      </c>
      <c r="J35" s="46">
        <f>SUM($H12:J12)</f>
        <v>0</v>
      </c>
      <c r="K35" s="46">
        <f>SUM($H12:K12)</f>
        <v>0</v>
      </c>
      <c r="L35" s="46">
        <f>SUM($H12:L12)</f>
        <v>0</v>
      </c>
      <c r="M35" s="46">
        <f>SUM($H12:M12)</f>
        <v>0</v>
      </c>
      <c r="N35" s="46">
        <f>SUM($H12:N12)</f>
        <v>0</v>
      </c>
      <c r="O35" s="46">
        <f>SUM($H12:O12)</f>
        <v>0</v>
      </c>
      <c r="P35" s="46">
        <f>SUM($H12:P12)</f>
        <v>0</v>
      </c>
      <c r="Q35" s="46">
        <f>SUM($H12:Q12)</f>
        <v>0</v>
      </c>
      <c r="R35" s="46">
        <f>SUM($H12:R12)</f>
        <v>0</v>
      </c>
      <c r="S35" s="46">
        <f>SUM($H12:S12)</f>
        <v>0</v>
      </c>
      <c r="T35" s="46">
        <f>SUM($H12:T12)</f>
        <v>0</v>
      </c>
      <c r="U35" s="46">
        <f>SUM($H12:U12)</f>
        <v>0</v>
      </c>
      <c r="V35" s="46">
        <f>SUM($H12:V12)</f>
        <v>0</v>
      </c>
      <c r="W35" s="46">
        <f>SUM($H12:W12)</f>
        <v>0</v>
      </c>
      <c r="X35" s="46">
        <f>SUM($H12:X12)</f>
        <v>0</v>
      </c>
      <c r="Y35" s="46">
        <f>SUM($H12:Y12)</f>
        <v>60345</v>
      </c>
      <c r="Z35" s="46">
        <f>SUM($H12:Z12)</f>
        <v>149425</v>
      </c>
      <c r="AA35" s="46">
        <f>SUM($H12:AA12)</f>
        <v>235632</v>
      </c>
      <c r="AB35" s="46">
        <f>SUM($H12:AB12)</f>
        <v>324712</v>
      </c>
      <c r="AC35" s="46">
        <f>SUM($H12:AC12)</f>
        <v>410919</v>
      </c>
      <c r="AD35" s="46">
        <f>SUM($H12:AD12)</f>
        <v>499999</v>
      </c>
      <c r="AE35" s="46">
        <f>SUM($H12:AE12)</f>
        <v>589079</v>
      </c>
      <c r="AF35" s="46">
        <f>SUM($H12:AF12)</f>
        <v>669539</v>
      </c>
      <c r="AG35" s="46">
        <f>SUM($H12:AG12)</f>
        <v>758619</v>
      </c>
      <c r="AH35" s="46">
        <f>SUM($H12:AH12)</f>
        <v>844826</v>
      </c>
      <c r="AI35" s="46">
        <f>SUM($H12:AI12)</f>
        <v>933906</v>
      </c>
      <c r="AJ35" s="46">
        <f>SUM($H12:AJ12)</f>
        <v>999998</v>
      </c>
      <c r="AK35" s="46">
        <f>SUM($H12:AK12)</f>
        <v>999998</v>
      </c>
    </row>
    <row r="36" spans="1:37">
      <c r="A36" s="46" t="s">
        <v>220</v>
      </c>
      <c r="C36" s="46" t="s">
        <v>113</v>
      </c>
      <c r="H36" s="139">
        <f>SUM($H13:H13)</f>
        <v>0</v>
      </c>
      <c r="I36" s="46">
        <f>SUM($H13:I13)</f>
        <v>0</v>
      </c>
      <c r="J36" s="46">
        <f>SUM($H13:J13)</f>
        <v>0</v>
      </c>
      <c r="K36" s="46">
        <f>SUM($H13:K13)</f>
        <v>0</v>
      </c>
      <c r="L36" s="46">
        <f>SUM($H13:L13)</f>
        <v>0</v>
      </c>
      <c r="M36" s="46">
        <f>SUM($H13:M13)</f>
        <v>0</v>
      </c>
      <c r="N36" s="46">
        <f>SUM($H13:N13)</f>
        <v>0</v>
      </c>
      <c r="O36" s="46">
        <f>SUM($H13:O13)</f>
        <v>0</v>
      </c>
      <c r="P36" s="46">
        <f>SUM($H13:P13)</f>
        <v>0</v>
      </c>
      <c r="Q36" s="46">
        <f>SUM($H13:Q13)</f>
        <v>0</v>
      </c>
      <c r="R36" s="46">
        <f>SUM($H13:R13)</f>
        <v>0</v>
      </c>
      <c r="S36" s="46">
        <f>SUM($H13:S13)</f>
        <v>0</v>
      </c>
      <c r="T36" s="46">
        <f>SUM($H13:T13)</f>
        <v>0</v>
      </c>
      <c r="U36" s="46">
        <f>SUM($H13:U13)</f>
        <v>0</v>
      </c>
      <c r="V36" s="46">
        <f>SUM($H13:V13)</f>
        <v>0</v>
      </c>
      <c r="W36" s="46">
        <f>SUM($H13:W13)</f>
        <v>0</v>
      </c>
      <c r="X36" s="46">
        <f>SUM($H13:X13)</f>
        <v>0</v>
      </c>
      <c r="Y36" s="46">
        <f>SUM($H13:Y13)</f>
        <v>57478</v>
      </c>
      <c r="Z36" s="46">
        <f>SUM($H13:Z13)</f>
        <v>184751</v>
      </c>
      <c r="AA36" s="46">
        <f>SUM($H13:AA13)</f>
        <v>307918</v>
      </c>
      <c r="AB36" s="46">
        <f>SUM($H13:AB13)</f>
        <v>435191</v>
      </c>
      <c r="AC36" s="46">
        <f>SUM($H13:AC13)</f>
        <v>558358</v>
      </c>
      <c r="AD36" s="46">
        <f>SUM($H13:AD13)</f>
        <v>685631</v>
      </c>
      <c r="AE36" s="46">
        <f>SUM($H13:AE13)</f>
        <v>812904</v>
      </c>
      <c r="AF36" s="46">
        <f>SUM($H13:AF13)</f>
        <v>927860</v>
      </c>
      <c r="AG36" s="46">
        <f>SUM($H13:AG13)</f>
        <v>1055133</v>
      </c>
      <c r="AH36" s="46">
        <f>SUM($H13:AH13)</f>
        <v>1178300</v>
      </c>
      <c r="AI36" s="46">
        <f>SUM($H13:AI13)</f>
        <v>1305573</v>
      </c>
      <c r="AJ36" s="46">
        <f>SUM($H13:AJ13)</f>
        <v>1400001</v>
      </c>
      <c r="AK36" s="46">
        <f>SUM($H13:AK13)</f>
        <v>1400001</v>
      </c>
    </row>
    <row r="37" spans="1:37">
      <c r="A37" s="46" t="s">
        <v>221</v>
      </c>
      <c r="C37" s="46" t="s">
        <v>114</v>
      </c>
      <c r="H37" s="139">
        <f>SUM($H14:H14)</f>
        <v>0</v>
      </c>
      <c r="I37" s="46">
        <f>SUM($H14:I14)</f>
        <v>0</v>
      </c>
      <c r="J37" s="46">
        <f>SUM($H14:J14)</f>
        <v>0</v>
      </c>
      <c r="K37" s="46">
        <f>SUM($H14:K14)</f>
        <v>0</v>
      </c>
      <c r="L37" s="46">
        <f>SUM($H14:L14)</f>
        <v>0</v>
      </c>
      <c r="M37" s="46">
        <f>SUM($H14:M14)</f>
        <v>0</v>
      </c>
      <c r="N37" s="46">
        <f>SUM($H14:N14)</f>
        <v>0</v>
      </c>
      <c r="O37" s="46">
        <f>SUM($H14:O14)</f>
        <v>0</v>
      </c>
      <c r="P37" s="46">
        <f>SUM($H14:P14)</f>
        <v>0</v>
      </c>
      <c r="Q37" s="46">
        <f>SUM($H14:Q14)</f>
        <v>0</v>
      </c>
      <c r="R37" s="46">
        <f>SUM($H14:R14)</f>
        <v>0</v>
      </c>
      <c r="S37" s="46">
        <f>SUM($H14:S14)</f>
        <v>0</v>
      </c>
      <c r="T37" s="46">
        <f>SUM($H14:T14)</f>
        <v>0</v>
      </c>
      <c r="U37" s="46">
        <f>SUM($H14:U14)</f>
        <v>0</v>
      </c>
      <c r="V37" s="46">
        <f>SUM($H14:V14)</f>
        <v>0</v>
      </c>
      <c r="W37" s="46">
        <f>SUM($H14:W14)</f>
        <v>0</v>
      </c>
      <c r="X37" s="46">
        <f>SUM($H14:X14)</f>
        <v>0</v>
      </c>
      <c r="Y37" s="46">
        <f>SUM($H14:Y14)</f>
        <v>82345</v>
      </c>
      <c r="Z37" s="46">
        <f>SUM($H14:Z14)</f>
        <v>278706</v>
      </c>
      <c r="AA37" s="46">
        <f>SUM($H14:AA14)</f>
        <v>468733</v>
      </c>
      <c r="AB37" s="46">
        <f>SUM($H14:AB14)</f>
        <v>665094</v>
      </c>
      <c r="AC37" s="46">
        <f>SUM($H14:AC14)</f>
        <v>855121</v>
      </c>
      <c r="AD37" s="46">
        <f>SUM($H14:AD14)</f>
        <v>1051482</v>
      </c>
      <c r="AE37" s="46">
        <f>SUM($H14:AE14)</f>
        <v>1247843</v>
      </c>
      <c r="AF37" s="46">
        <f>SUM($H14:AF14)</f>
        <v>1425201</v>
      </c>
      <c r="AG37" s="46">
        <f>SUM($H14:AG14)</f>
        <v>1621562</v>
      </c>
      <c r="AH37" s="46">
        <f>SUM($H14:AH14)</f>
        <v>1811589</v>
      </c>
      <c r="AI37" s="46">
        <f>SUM($H14:AI14)</f>
        <v>2007950</v>
      </c>
      <c r="AJ37" s="46">
        <f>SUM($H14:AJ14)</f>
        <v>2197977</v>
      </c>
      <c r="AK37" s="46">
        <f>SUM($H14:AK14)</f>
        <v>2349999</v>
      </c>
    </row>
    <row r="38" spans="1:37">
      <c r="A38" s="46" t="s">
        <v>222</v>
      </c>
      <c r="C38" s="46" t="s">
        <v>115</v>
      </c>
      <c r="H38" s="139">
        <f>SUM($H15:H15)</f>
        <v>0</v>
      </c>
      <c r="I38" s="46">
        <f>SUM($H15:I15)</f>
        <v>0</v>
      </c>
      <c r="J38" s="46">
        <f>SUM($H15:J15)</f>
        <v>0</v>
      </c>
      <c r="K38" s="46">
        <f>SUM($H15:K15)</f>
        <v>0</v>
      </c>
      <c r="L38" s="46">
        <f>SUM($H15:L15)</f>
        <v>0</v>
      </c>
      <c r="M38" s="46">
        <f>SUM($H15:M15)</f>
        <v>0</v>
      </c>
      <c r="N38" s="46">
        <f>SUM($H15:N15)</f>
        <v>0</v>
      </c>
      <c r="O38" s="46">
        <f>SUM($H15:O15)</f>
        <v>0</v>
      </c>
      <c r="P38" s="46">
        <f>SUM($H15:P15)</f>
        <v>0</v>
      </c>
      <c r="Q38" s="46">
        <f>SUM($H15:Q15)</f>
        <v>0</v>
      </c>
      <c r="R38" s="46">
        <f>SUM($H15:R15)</f>
        <v>0</v>
      </c>
      <c r="S38" s="46">
        <f>SUM($H15:S15)</f>
        <v>0</v>
      </c>
      <c r="T38" s="46">
        <f>SUM($H15:T15)</f>
        <v>0</v>
      </c>
      <c r="U38" s="46">
        <f>SUM($H15:U15)</f>
        <v>0</v>
      </c>
      <c r="V38" s="46">
        <f>SUM($H15:V15)</f>
        <v>0</v>
      </c>
      <c r="W38" s="46">
        <f>SUM($H15:W15)</f>
        <v>0</v>
      </c>
      <c r="X38" s="46">
        <f>SUM($H15:X15)</f>
        <v>0</v>
      </c>
      <c r="Y38" s="46">
        <f>SUM($H15:Y15)</f>
        <v>82345</v>
      </c>
      <c r="Z38" s="46">
        <f>SUM($H15:Z15)</f>
        <v>278706</v>
      </c>
      <c r="AA38" s="46">
        <f>SUM($H15:AA15)</f>
        <v>468733</v>
      </c>
      <c r="AB38" s="46">
        <f>SUM($H15:AB15)</f>
        <v>665094</v>
      </c>
      <c r="AC38" s="46">
        <f>SUM($H15:AC15)</f>
        <v>855121</v>
      </c>
      <c r="AD38" s="46">
        <f>SUM($H15:AD15)</f>
        <v>1051482</v>
      </c>
      <c r="AE38" s="46">
        <f>SUM($H15:AE15)</f>
        <v>1247843</v>
      </c>
      <c r="AF38" s="46">
        <f>SUM($H15:AF15)</f>
        <v>1425201</v>
      </c>
      <c r="AG38" s="46">
        <f>SUM($H15:AG15)</f>
        <v>1621562</v>
      </c>
      <c r="AH38" s="46">
        <f>SUM($H15:AH15)</f>
        <v>1811589</v>
      </c>
      <c r="AI38" s="46">
        <f>SUM($H15:AI15)</f>
        <v>2007950</v>
      </c>
      <c r="AJ38" s="46">
        <f>SUM($H15:AJ15)</f>
        <v>2197977</v>
      </c>
      <c r="AK38" s="46">
        <f>SUM($H15:AK15)</f>
        <v>2349999</v>
      </c>
    </row>
    <row r="39" spans="1:37">
      <c r="A39" s="46" t="s">
        <v>223</v>
      </c>
      <c r="C39" s="46" t="s">
        <v>117</v>
      </c>
      <c r="H39" s="139">
        <f>SUM($H16:H16)</f>
        <v>0</v>
      </c>
      <c r="I39" s="46">
        <f>SUM($H16:I16)</f>
        <v>0</v>
      </c>
      <c r="J39" s="46">
        <f>SUM($H16:J16)</f>
        <v>0</v>
      </c>
      <c r="K39" s="46">
        <f>SUM($H16:K16)</f>
        <v>0</v>
      </c>
      <c r="L39" s="46">
        <f>SUM($H16:L16)</f>
        <v>0</v>
      </c>
      <c r="M39" s="46">
        <f>SUM($H16:M16)</f>
        <v>0</v>
      </c>
      <c r="N39" s="46">
        <f>SUM($H16:N16)</f>
        <v>0</v>
      </c>
      <c r="O39" s="46">
        <f>SUM($H16:O16)</f>
        <v>0</v>
      </c>
      <c r="P39" s="46">
        <f>SUM($H16:P16)</f>
        <v>0</v>
      </c>
      <c r="Q39" s="46">
        <f>SUM($H16:Q16)</f>
        <v>0</v>
      </c>
      <c r="R39" s="46">
        <f>SUM($H16:R16)</f>
        <v>0</v>
      </c>
      <c r="S39" s="46">
        <f>SUM($H16:S16)</f>
        <v>0</v>
      </c>
      <c r="T39" s="46">
        <f>SUM($H16:T16)</f>
        <v>0</v>
      </c>
      <c r="U39" s="46">
        <f>SUM($H16:U16)</f>
        <v>0</v>
      </c>
      <c r="V39" s="46">
        <f>SUM($H16:V16)</f>
        <v>0</v>
      </c>
      <c r="W39" s="46">
        <f>SUM($H16:W16)</f>
        <v>0</v>
      </c>
      <c r="X39" s="46">
        <f>SUM($H16:X16)</f>
        <v>0</v>
      </c>
      <c r="Y39" s="46">
        <f>SUM($H16:Y16)</f>
        <v>82345</v>
      </c>
      <c r="Z39" s="46">
        <f>SUM($H16:Z16)</f>
        <v>278706</v>
      </c>
      <c r="AA39" s="46">
        <f>SUM($H16:AA16)</f>
        <v>468733</v>
      </c>
      <c r="AB39" s="46">
        <f>SUM($H16:AB16)</f>
        <v>665094</v>
      </c>
      <c r="AC39" s="46">
        <f>SUM($H16:AC16)</f>
        <v>855121</v>
      </c>
      <c r="AD39" s="46">
        <f>SUM($H16:AD16)</f>
        <v>1051482</v>
      </c>
      <c r="AE39" s="46">
        <f>SUM($H16:AE16)</f>
        <v>1247843</v>
      </c>
      <c r="AF39" s="46">
        <f>SUM($H16:AF16)</f>
        <v>1425201</v>
      </c>
      <c r="AG39" s="46">
        <f>SUM($H16:AG16)</f>
        <v>1621562</v>
      </c>
      <c r="AH39" s="46">
        <f>SUM($H16:AH16)</f>
        <v>1811589</v>
      </c>
      <c r="AI39" s="46">
        <f>SUM($H16:AI16)</f>
        <v>2007950</v>
      </c>
      <c r="AJ39" s="46">
        <f>SUM($H16:AJ16)</f>
        <v>2197977</v>
      </c>
      <c r="AK39" s="46">
        <f>SUM($H16:AK16)</f>
        <v>2349999</v>
      </c>
    </row>
    <row r="40" spans="1:37">
      <c r="A40" s="46" t="s">
        <v>224</v>
      </c>
      <c r="C40" s="46" t="s">
        <v>116</v>
      </c>
      <c r="H40" s="139">
        <f>SUM($H17:H17)</f>
        <v>0</v>
      </c>
      <c r="I40" s="46">
        <f>SUM($H17:I17)</f>
        <v>0</v>
      </c>
      <c r="J40" s="46">
        <f>SUM($H17:J17)</f>
        <v>0</v>
      </c>
      <c r="K40" s="46">
        <f>SUM($H17:K17)</f>
        <v>0</v>
      </c>
      <c r="L40" s="46">
        <f>SUM($H17:L17)</f>
        <v>0</v>
      </c>
      <c r="M40" s="46">
        <f>SUM($H17:M17)</f>
        <v>0</v>
      </c>
      <c r="N40" s="46">
        <f>SUM($H17:N17)</f>
        <v>0</v>
      </c>
      <c r="O40" s="46">
        <f>SUM($H17:O17)</f>
        <v>0</v>
      </c>
      <c r="P40" s="46">
        <f>SUM($H17:P17)</f>
        <v>0</v>
      </c>
      <c r="Q40" s="46">
        <f>SUM($H17:Q17)</f>
        <v>0</v>
      </c>
      <c r="R40" s="46">
        <f>SUM($H17:R17)</f>
        <v>0</v>
      </c>
      <c r="S40" s="46">
        <f>SUM($H17:S17)</f>
        <v>0</v>
      </c>
      <c r="T40" s="46">
        <f>SUM($H17:T17)</f>
        <v>0</v>
      </c>
      <c r="U40" s="46">
        <f>SUM($H17:U17)</f>
        <v>0</v>
      </c>
      <c r="V40" s="46">
        <f>SUM($H17:V17)</f>
        <v>0</v>
      </c>
      <c r="W40" s="46">
        <f>SUM($H17:W17)</f>
        <v>0</v>
      </c>
      <c r="X40" s="46">
        <f>SUM($H17:X17)</f>
        <v>0</v>
      </c>
      <c r="Y40" s="46">
        <f>SUM($H17:Y17)</f>
        <v>82345</v>
      </c>
      <c r="Z40" s="46">
        <f>SUM($H17:Z17)</f>
        <v>278706</v>
      </c>
      <c r="AA40" s="46">
        <f>SUM($H17:AA17)</f>
        <v>468733</v>
      </c>
      <c r="AB40" s="46">
        <f>SUM($H17:AB17)</f>
        <v>665094</v>
      </c>
      <c r="AC40" s="46">
        <f>SUM($H17:AC17)</f>
        <v>855121</v>
      </c>
      <c r="AD40" s="46">
        <f>SUM($H17:AD17)</f>
        <v>1051482</v>
      </c>
      <c r="AE40" s="46">
        <f>SUM($H17:AE17)</f>
        <v>1247843</v>
      </c>
      <c r="AF40" s="46">
        <f>SUM($H17:AF17)</f>
        <v>1425201</v>
      </c>
      <c r="AG40" s="46">
        <f>SUM($H17:AG17)</f>
        <v>1621562</v>
      </c>
      <c r="AH40" s="46">
        <f>SUM($H17:AH17)</f>
        <v>1811589</v>
      </c>
      <c r="AI40" s="46">
        <f>SUM($H17:AI17)</f>
        <v>2007950</v>
      </c>
      <c r="AJ40" s="46">
        <f>SUM($H17:AJ17)</f>
        <v>2197977</v>
      </c>
      <c r="AK40" s="46">
        <f>SUM($H17:AK17)</f>
        <v>2349999</v>
      </c>
    </row>
    <row r="41" spans="1:37">
      <c r="A41" s="46" t="s">
        <v>225</v>
      </c>
      <c r="C41" s="46" t="s">
        <v>198</v>
      </c>
      <c r="H41" s="139">
        <f>SUM($H18:H18)</f>
        <v>0</v>
      </c>
      <c r="I41" s="46">
        <f>SUM($H18:I18)</f>
        <v>0</v>
      </c>
      <c r="J41" s="46">
        <f>SUM($H18:J18)</f>
        <v>0</v>
      </c>
      <c r="K41" s="46">
        <f>SUM($H18:K18)</f>
        <v>0</v>
      </c>
      <c r="L41" s="46">
        <f>SUM($H18:L18)</f>
        <v>0</v>
      </c>
      <c r="M41" s="46">
        <f>SUM($H18:M18)</f>
        <v>0</v>
      </c>
      <c r="N41" s="46">
        <f>SUM($H18:N18)</f>
        <v>0</v>
      </c>
      <c r="O41" s="46">
        <f>SUM($H18:O18)</f>
        <v>0</v>
      </c>
      <c r="P41" s="46">
        <f>SUM($H18:P18)</f>
        <v>0</v>
      </c>
      <c r="Q41" s="46">
        <f>SUM($H18:Q18)</f>
        <v>0</v>
      </c>
      <c r="R41" s="46">
        <f>SUM($H18:R18)</f>
        <v>0</v>
      </c>
      <c r="S41" s="46">
        <f>SUM($H18:S18)</f>
        <v>0</v>
      </c>
      <c r="T41" s="46">
        <f>SUM($H18:T18)</f>
        <v>0</v>
      </c>
      <c r="U41" s="46">
        <f>SUM($H18:U18)</f>
        <v>0</v>
      </c>
      <c r="V41" s="46">
        <f>SUM($H18:V18)</f>
        <v>0</v>
      </c>
      <c r="W41" s="46">
        <f>SUM($H18:W18)</f>
        <v>0</v>
      </c>
      <c r="X41" s="46">
        <f>SUM($H18:X18)</f>
        <v>0</v>
      </c>
      <c r="Y41" s="46">
        <f>SUM($H18:Y18)</f>
        <v>0</v>
      </c>
      <c r="Z41" s="46">
        <f>SUM($H18:Z18)</f>
        <v>141250</v>
      </c>
      <c r="AA41" s="46">
        <f>SUM($H18:AA18)</f>
        <v>310750</v>
      </c>
      <c r="AB41" s="46">
        <f>SUM($H18:AB18)</f>
        <v>485900</v>
      </c>
      <c r="AC41" s="46">
        <f>SUM($H18:AC18)</f>
        <v>655400</v>
      </c>
      <c r="AD41" s="46">
        <f>SUM($H18:AD18)</f>
        <v>830550</v>
      </c>
      <c r="AE41" s="46">
        <f>SUM($H18:AE18)</f>
        <v>1005700</v>
      </c>
      <c r="AF41" s="46">
        <f>SUM($H18:AF18)</f>
        <v>1130000</v>
      </c>
      <c r="AG41" s="46">
        <f>SUM($H18:AG18)</f>
        <v>1130000</v>
      </c>
      <c r="AH41" s="46">
        <f>SUM($H18:AH18)</f>
        <v>1130000</v>
      </c>
      <c r="AI41" s="46">
        <f>SUM($H18:AI18)</f>
        <v>1130000</v>
      </c>
      <c r="AJ41" s="46">
        <f>SUM($H18:AJ18)</f>
        <v>1130000</v>
      </c>
      <c r="AK41" s="46">
        <f>SUM($H18:AK18)</f>
        <v>1130000</v>
      </c>
    </row>
    <row r="42" spans="1:37">
      <c r="A42" s="46" t="s">
        <v>226</v>
      </c>
      <c r="C42" s="46" t="s">
        <v>118</v>
      </c>
      <c r="H42" s="139">
        <f>SUM($H19:H19)</f>
        <v>0</v>
      </c>
      <c r="I42" s="46">
        <f>SUM($H19:I19)</f>
        <v>0</v>
      </c>
      <c r="J42" s="46">
        <f>SUM($H19:J19)</f>
        <v>0</v>
      </c>
      <c r="K42" s="46">
        <f>SUM($H19:K19)</f>
        <v>0</v>
      </c>
      <c r="L42" s="46">
        <f>SUM($H19:L19)</f>
        <v>0</v>
      </c>
      <c r="M42" s="46">
        <f>SUM($H19:M19)</f>
        <v>0</v>
      </c>
      <c r="N42" s="46">
        <f>SUM($H19:N19)</f>
        <v>0</v>
      </c>
      <c r="O42" s="46">
        <f>SUM($H19:O19)</f>
        <v>0</v>
      </c>
      <c r="P42" s="46">
        <f>SUM($H19:P19)</f>
        <v>0</v>
      </c>
      <c r="Q42" s="46">
        <f>SUM($H19:Q19)</f>
        <v>0</v>
      </c>
      <c r="R42" s="46">
        <f>SUM($H19:R19)</f>
        <v>0</v>
      </c>
      <c r="S42" s="46">
        <f>SUM($H19:S19)</f>
        <v>0</v>
      </c>
      <c r="T42" s="46">
        <f>SUM($H19:T19)</f>
        <v>0</v>
      </c>
      <c r="U42" s="46">
        <f>SUM($H19:U19)</f>
        <v>0</v>
      </c>
      <c r="V42" s="46">
        <f>SUM($H19:V19)</f>
        <v>0</v>
      </c>
      <c r="W42" s="46">
        <f>SUM($H19:W19)</f>
        <v>0</v>
      </c>
      <c r="X42" s="46">
        <f>SUM($H19:X19)</f>
        <v>0</v>
      </c>
      <c r="Y42" s="46">
        <f>SUM($H19:Y19)</f>
        <v>0</v>
      </c>
      <c r="Z42" s="46">
        <f>SUM($H19:Z19)</f>
        <v>0</v>
      </c>
      <c r="AA42" s="46">
        <f>SUM($H19:AA19)</f>
        <v>0</v>
      </c>
      <c r="AB42" s="46">
        <f>SUM($H19:AB19)</f>
        <v>0</v>
      </c>
      <c r="AC42" s="46">
        <f>SUM($H19:AC19)</f>
        <v>0</v>
      </c>
      <c r="AD42" s="46">
        <f>SUM($H19:AD19)</f>
        <v>0</v>
      </c>
      <c r="AE42" s="46">
        <f>SUM($H19:AE19)</f>
        <v>0</v>
      </c>
      <c r="AF42" s="46">
        <f>SUM($H19:AF19)</f>
        <v>632022</v>
      </c>
      <c r="AG42" s="46">
        <f>SUM($H19:AG19)</f>
        <v>1415730</v>
      </c>
      <c r="AH42" s="46">
        <f>SUM($H19:AH19)</f>
        <v>2174157</v>
      </c>
      <c r="AI42" s="46">
        <f>SUM($H19:AI19)</f>
        <v>2957865</v>
      </c>
      <c r="AJ42" s="46">
        <f>SUM($H19:AJ19)</f>
        <v>3716292</v>
      </c>
      <c r="AK42" s="46">
        <f>SUM($H19:AK19)</f>
        <v>4500000</v>
      </c>
    </row>
    <row r="43" spans="1:37">
      <c r="A43" s="46" t="s">
        <v>227</v>
      </c>
      <c r="C43" s="46" t="s">
        <v>194</v>
      </c>
      <c r="H43" s="139">
        <f>SUM($H20:H20)</f>
        <v>0</v>
      </c>
      <c r="I43" s="46">
        <f>SUM($H20:I20)</f>
        <v>0</v>
      </c>
      <c r="J43" s="46">
        <f>SUM($H20:J20)</f>
        <v>0</v>
      </c>
      <c r="K43" s="46">
        <f>SUM($H20:K20)</f>
        <v>0</v>
      </c>
      <c r="L43" s="46">
        <f>SUM($H20:L20)</f>
        <v>0</v>
      </c>
      <c r="M43" s="46">
        <f>SUM($H20:M20)</f>
        <v>0</v>
      </c>
      <c r="N43" s="46">
        <f>SUM($H20:N20)</f>
        <v>0</v>
      </c>
      <c r="O43" s="46">
        <f>SUM($H20:O20)</f>
        <v>0</v>
      </c>
      <c r="P43" s="46">
        <f>SUM($H20:P20)</f>
        <v>0</v>
      </c>
      <c r="Q43" s="46">
        <f>SUM($H20:Q20)</f>
        <v>0</v>
      </c>
      <c r="R43" s="46">
        <f>SUM($H20:R20)</f>
        <v>0</v>
      </c>
      <c r="S43" s="46">
        <f>SUM($H20:S20)</f>
        <v>0</v>
      </c>
      <c r="T43" s="46">
        <f>SUM($H20:T20)</f>
        <v>0</v>
      </c>
      <c r="U43" s="46">
        <f>SUM($H20:U20)</f>
        <v>0</v>
      </c>
      <c r="V43" s="46">
        <f>SUM($H20:V20)</f>
        <v>0</v>
      </c>
      <c r="W43" s="46">
        <f>SUM($H20:W20)</f>
        <v>0</v>
      </c>
      <c r="X43" s="46">
        <f>SUM($H20:X20)</f>
        <v>0</v>
      </c>
      <c r="Y43" s="46">
        <f>SUM($H20:Y20)</f>
        <v>0</v>
      </c>
      <c r="Z43" s="46">
        <f>SUM($H20:Z20)</f>
        <v>0</v>
      </c>
      <c r="AA43" s="46">
        <f>SUM($H20:AA20)</f>
        <v>0</v>
      </c>
      <c r="AB43" s="46">
        <f>SUM($H20:AB20)</f>
        <v>0</v>
      </c>
      <c r="AC43" s="46">
        <f>SUM($H20:AC20)</f>
        <v>0</v>
      </c>
      <c r="AD43" s="46">
        <f>SUM($H20:AD20)</f>
        <v>0</v>
      </c>
      <c r="AE43" s="46">
        <f>SUM($H20:AE20)</f>
        <v>0</v>
      </c>
      <c r="AF43" s="46">
        <f>SUM($H20:AF20)</f>
        <v>0</v>
      </c>
      <c r="AG43" s="46">
        <f>SUM($H20:AG20)</f>
        <v>0</v>
      </c>
      <c r="AH43" s="46">
        <f>SUM($H20:AH20)</f>
        <v>0</v>
      </c>
      <c r="AI43" s="46">
        <f>SUM($H20:AI20)</f>
        <v>0</v>
      </c>
      <c r="AJ43" s="46">
        <f>SUM($H20:AJ20)</f>
        <v>0</v>
      </c>
      <c r="AK43" s="46">
        <f>SUM($H20:AK20)</f>
        <v>1000000</v>
      </c>
    </row>
    <row r="46" spans="1:37">
      <c r="A46" s="129" t="s">
        <v>235</v>
      </c>
      <c r="B46" s="135" t="s">
        <v>2</v>
      </c>
    </row>
    <row r="47" spans="1:37" s="132" customFormat="1">
      <c r="A47" s="132" t="s">
        <v>7</v>
      </c>
      <c r="B47" s="137"/>
      <c r="C47" s="132" t="s">
        <v>8</v>
      </c>
      <c r="D47" s="133">
        <v>42767</v>
      </c>
      <c r="E47" s="133">
        <v>42795</v>
      </c>
      <c r="F47" s="133">
        <v>42826</v>
      </c>
      <c r="G47" s="133">
        <v>42856</v>
      </c>
      <c r="H47" s="142">
        <v>42887</v>
      </c>
      <c r="I47" s="133">
        <v>42917</v>
      </c>
      <c r="J47" s="133">
        <v>42948</v>
      </c>
      <c r="K47" s="133">
        <v>42979</v>
      </c>
      <c r="L47" s="133">
        <v>43009</v>
      </c>
      <c r="M47" s="133">
        <v>43040</v>
      </c>
      <c r="N47" s="133">
        <v>43070</v>
      </c>
      <c r="O47" s="133">
        <v>43101</v>
      </c>
      <c r="P47" s="133">
        <v>43132</v>
      </c>
      <c r="Q47" s="133">
        <v>43160</v>
      </c>
      <c r="R47" s="133">
        <v>43191</v>
      </c>
      <c r="S47" s="133">
        <v>43221</v>
      </c>
      <c r="T47" s="133">
        <v>43252</v>
      </c>
      <c r="U47" s="133">
        <v>43282</v>
      </c>
      <c r="V47" s="133">
        <v>43313</v>
      </c>
      <c r="W47" s="133">
        <v>43344</v>
      </c>
      <c r="X47" s="133">
        <v>43374</v>
      </c>
      <c r="Y47" s="133">
        <v>43405</v>
      </c>
      <c r="Z47" s="133">
        <v>43435</v>
      </c>
      <c r="AA47" s="133">
        <v>43466</v>
      </c>
      <c r="AB47" s="133">
        <v>43497</v>
      </c>
      <c r="AC47" s="133">
        <v>43525</v>
      </c>
      <c r="AD47" s="133">
        <v>43556</v>
      </c>
      <c r="AE47" s="133">
        <v>43586</v>
      </c>
      <c r="AF47" s="133">
        <v>43617</v>
      </c>
      <c r="AG47" s="133">
        <v>43647</v>
      </c>
      <c r="AH47" s="133">
        <v>43678</v>
      </c>
      <c r="AI47" s="133">
        <v>43709</v>
      </c>
      <c r="AJ47" s="133">
        <v>43739</v>
      </c>
      <c r="AK47" s="133">
        <v>43770</v>
      </c>
    </row>
    <row r="48" spans="1:37" s="132" customFormat="1">
      <c r="A48" s="132" t="s">
        <v>3</v>
      </c>
      <c r="B48" s="137"/>
      <c r="D48" s="205">
        <f>IF(D$47&lt;=KPI!$O$2,D26/$AK$26,"")</f>
        <v>0</v>
      </c>
      <c r="E48" s="205">
        <f>IF(E$47&lt;=KPI!$O$2,E26/$AK$26,"")</f>
        <v>0</v>
      </c>
      <c r="F48" s="205">
        <f>IF(F$47&lt;=KPI!$O$2,F26/$AK$26,"")</f>
        <v>0</v>
      </c>
      <c r="G48" s="205">
        <f>IF(G$47&lt;=KPI!$O$2,G26/$AK$26,"")</f>
        <v>0</v>
      </c>
      <c r="H48" s="205">
        <f>IF(H$47&lt;=KPI!$O$2,H26/$AK$26,"")</f>
        <v>8.3179234953544012E-3</v>
      </c>
      <c r="I48" s="205">
        <f>IF(I$47&lt;=KPI!$O$2,I26/$AK$26,"")</f>
        <v>2.7240824407191711E-2</v>
      </c>
      <c r="J48" s="205">
        <f>IF(J$47&lt;=KPI!$O$2,J26/$AK$26,"")</f>
        <v>4.6161251821193093E-2</v>
      </c>
      <c r="K48" s="205">
        <f>IF(K$47&lt;=KPI!$O$2,K26/$AK$26,"")</f>
        <v>6.0797484613317604E-2</v>
      </c>
      <c r="L48" s="205">
        <f>IF(L$47&lt;=KPI!$O$2,L26/$AK$26,"")</f>
        <v>7.4256942779161131E-2</v>
      </c>
      <c r="M48" s="205">
        <f>IF(M$47&lt;=KPI!$O$2,M26/$AK$26,"")</f>
        <v>8.8165067753763607E-2</v>
      </c>
      <c r="N48" s="205">
        <f>IF(N$47&lt;=KPI!$O$2,N26/$AK$26,"")</f>
        <v>0.10207319272836608</v>
      </c>
      <c r="O48" s="205">
        <f>IF(O$47&lt;=KPI!$O$2,O26/$AK$26,"")</f>
        <v>0.11553265089420962</v>
      </c>
      <c r="P48" s="205">
        <f>IF(P$47&lt;=KPI!$O$2,P26/$AK$26,"")</f>
        <v>0.12818536328535765</v>
      </c>
      <c r="Q48" s="205">
        <f>IF(Q$47&lt;=KPI!$O$2,Q26/$AK$26,"")</f>
        <v>0.13850633817758784</v>
      </c>
      <c r="R48" s="205">
        <f>IF(R$47&lt;=KPI!$O$2,R26/$AK$26,"")</f>
        <v>0.14917135413245194</v>
      </c>
      <c r="S48" s="205">
        <f>IF(S$47&lt;=KPI!$O$2,S26/$AK$26,"")</f>
        <v>0.15983637008731608</v>
      </c>
      <c r="T48" s="205">
        <f>IF(T$47&lt;=KPI!$O$2,T26/$AK$26,"")</f>
        <v>0.16863142167821688</v>
      </c>
      <c r="U48" s="205">
        <f>IF(U$47&lt;=KPI!$O$2,U26/$AK$26,"")</f>
        <v>0.17836881169791011</v>
      </c>
      <c r="V48" s="205">
        <f>IF(V$47&lt;=KPI!$O$2,V26/$AK$26,"")</f>
        <v>0.18779209961578869</v>
      </c>
      <c r="W48" s="205">
        <f>IF(W$47&lt;=KPI!$O$2,W26/$AK$26,"")</f>
        <v>0.19752948963548192</v>
      </c>
      <c r="X48" s="205">
        <f>IF(X$47&lt;=KPI!$O$2,X26/$AK$26,"")</f>
        <v>0.2069527775533605</v>
      </c>
      <c r="Y48" s="205">
        <f>IF(Y$47&lt;=KPI!$O$2,Y26/$AK$26,"")</f>
        <v>0.24433741658570243</v>
      </c>
      <c r="Z48" s="205" t="str">
        <f>IF(Z$47&lt;=KPI!$O$2,Z26/$AK$26,"")</f>
        <v/>
      </c>
      <c r="AA48" s="205" t="str">
        <f>IF(AA$47&lt;=KPI!$O$2,AA26/$AK$26,"")</f>
        <v/>
      </c>
      <c r="AB48" s="205" t="str">
        <f>IF(AB$47&lt;=KPI!$O$2,AB26/$AK$26,"")</f>
        <v/>
      </c>
      <c r="AC48" s="205" t="str">
        <f>IF(AC$47&lt;=KPI!$O$2,AC26/$AK$26,"")</f>
        <v/>
      </c>
      <c r="AD48" s="205" t="str">
        <f>IF(AD$47&lt;=KPI!$O$2,AD26/$AK$26,"")</f>
        <v/>
      </c>
      <c r="AE48" s="205" t="str">
        <f>IF(AE$47&lt;=KPI!$O$2,AE26/$AK$26,"")</f>
        <v/>
      </c>
      <c r="AF48" s="205" t="str">
        <f>IF(AF$47&lt;=KPI!$O$2,AF26/$AK$26,"")</f>
        <v/>
      </c>
      <c r="AG48" s="205" t="str">
        <f>IF(AG$47&lt;=KPI!$O$2,AG26/$AK$26,"")</f>
        <v/>
      </c>
      <c r="AH48" s="205" t="str">
        <f>IF(AH$47&lt;=KPI!$O$2,AH26/$AK$26,"")</f>
        <v/>
      </c>
      <c r="AI48" s="205" t="str">
        <f>IF(AI$47&lt;=KPI!$O$2,AI26/$AK$26,"")</f>
        <v/>
      </c>
      <c r="AJ48" s="205" t="str">
        <f>IF(AJ$47&lt;=KPI!$O$2,AJ26/$AK$26,"")</f>
        <v/>
      </c>
      <c r="AK48" s="205" t="str">
        <f>IF(AK$47&lt;=KPI!$O$2,AK26/$AK$26,"")</f>
        <v/>
      </c>
    </row>
    <row r="49" spans="1:37">
      <c r="A49" s="46" t="s">
        <v>211</v>
      </c>
      <c r="C49" s="46" t="s">
        <v>167</v>
      </c>
      <c r="D49" s="205">
        <f>IF(D$47&lt;=KPI!$O$2,D27/$AK$26,"")</f>
        <v>0</v>
      </c>
      <c r="E49" s="205">
        <f>IF(E$47&lt;=KPI!$O$2,E27/$AK$26,"")</f>
        <v>0</v>
      </c>
      <c r="F49" s="205">
        <f>IF(F$47&lt;=KPI!$O$2,F27/$AK$26,"")</f>
        <v>0</v>
      </c>
      <c r="G49" s="205">
        <f>IF(G$47&lt;=KPI!$O$2,G27/$AK$26,"")</f>
        <v>0</v>
      </c>
      <c r="H49" s="205">
        <f>IF(H$47&lt;=KPI!$O$2,H27/$AK$26,"")</f>
        <v>2.9292639047118689E-3</v>
      </c>
      <c r="I49" s="205">
        <f>IF(I$47&lt;=KPI!$O$2,I27/$AK$26,"")</f>
        <v>6.172372924450221E-3</v>
      </c>
      <c r="J49" s="205">
        <f>IF(J$47&lt;=KPI!$O$2,J27/$AK$26,"")</f>
        <v>9.3108561980635718E-3</v>
      </c>
      <c r="K49" s="205">
        <f>IF(K$47&lt;=KPI!$O$2,K27/$AK$26,"")</f>
        <v>1.2553965217801924E-2</v>
      </c>
      <c r="L49" s="205">
        <f>IF(L$47&lt;=KPI!$O$2,L27/$AK$26,"")</f>
        <v>1.5692448491415278E-2</v>
      </c>
      <c r="M49" s="205">
        <f>IF(M$47&lt;=KPI!$O$2,M27/$AK$26,"")</f>
        <v>1.8935557511153629E-2</v>
      </c>
      <c r="N49" s="205">
        <f>IF(N$47&lt;=KPI!$O$2,N27/$AK$26,"")</f>
        <v>2.2178666530891979E-2</v>
      </c>
      <c r="O49" s="205">
        <f>IF(O$47&lt;=KPI!$O$2,O27/$AK$26,"")</f>
        <v>2.5317149804505331E-2</v>
      </c>
      <c r="P49" s="205">
        <f>IF(P$47&lt;=KPI!$O$2,P27/$AK$26,"")</f>
        <v>2.7304846240789233E-2</v>
      </c>
      <c r="Q49" s="205">
        <f>IF(Q$47&lt;=KPI!$O$2,Q27/$AK$26,"")</f>
        <v>2.7304846240789233E-2</v>
      </c>
      <c r="R49" s="205">
        <f>IF(R$47&lt;=KPI!$O$2,R27/$AK$26,"")</f>
        <v>2.7304846240789233E-2</v>
      </c>
      <c r="S49" s="205">
        <f>IF(S$47&lt;=KPI!$O$2,S27/$AK$26,"")</f>
        <v>2.7304846240789233E-2</v>
      </c>
      <c r="T49" s="205">
        <f>IF(T$47&lt;=KPI!$O$2,T27/$AK$26,"")</f>
        <v>2.7304846240789233E-2</v>
      </c>
      <c r="U49" s="205">
        <f>IF(U$47&lt;=KPI!$O$2,U27/$AK$26,"")</f>
        <v>2.7304846240789233E-2</v>
      </c>
      <c r="V49" s="205">
        <f>IF(V$47&lt;=KPI!$O$2,V27/$AK$26,"")</f>
        <v>2.7304846240789233E-2</v>
      </c>
      <c r="W49" s="205">
        <f>IF(W$47&lt;=KPI!$O$2,W27/$AK$26,"")</f>
        <v>2.7304846240789233E-2</v>
      </c>
      <c r="X49" s="205">
        <f>IF(X$47&lt;=KPI!$O$2,X27/$AK$26,"")</f>
        <v>2.7304846240789233E-2</v>
      </c>
      <c r="Y49" s="205">
        <f>IF(Y$47&lt;=KPI!$O$2,Y27/$AK$26,"")</f>
        <v>2.7304846240789233E-2</v>
      </c>
      <c r="Z49" s="205" t="str">
        <f>IF(Z$47&lt;=KPI!$O$2,Z27/$AK$26,"")</f>
        <v/>
      </c>
      <c r="AA49" s="205" t="str">
        <f>IF(AA$47&lt;=KPI!$O$2,AA27/$AK$26,"")</f>
        <v/>
      </c>
      <c r="AB49" s="205" t="str">
        <f>IF(AB$47&lt;=KPI!$O$2,AB27/$AK$26,"")</f>
        <v/>
      </c>
      <c r="AC49" s="205" t="str">
        <f>IF(AC$47&lt;=KPI!$O$2,AC27/$AK$26,"")</f>
        <v/>
      </c>
      <c r="AD49" s="205" t="str">
        <f>IF(AD$47&lt;=KPI!$O$2,AD27/$AK$26,"")</f>
        <v/>
      </c>
      <c r="AE49" s="205" t="str">
        <f>IF(AE$47&lt;=KPI!$O$2,AE27/$AK$26,"")</f>
        <v/>
      </c>
      <c r="AF49" s="205" t="str">
        <f>IF(AF$47&lt;=KPI!$O$2,AF27/$AK$26,"")</f>
        <v/>
      </c>
      <c r="AG49" s="205" t="str">
        <f>IF(AG$47&lt;=KPI!$O$2,AG27/$AK$26,"")</f>
        <v/>
      </c>
      <c r="AH49" s="205" t="str">
        <f>IF(AH$47&lt;=KPI!$O$2,AH27/$AK$26,"")</f>
        <v/>
      </c>
      <c r="AI49" s="205" t="str">
        <f>IF(AI$47&lt;=KPI!$O$2,AI27/$AK$26,"")</f>
        <v/>
      </c>
      <c r="AJ49" s="205" t="str">
        <f>IF(AJ$47&lt;=KPI!$O$2,AJ27/$AK$26,"")</f>
        <v/>
      </c>
      <c r="AK49" s="205" t="str">
        <f>IF(AK$47&lt;=KPI!$O$2,AK27/$AK$26,"")</f>
        <v/>
      </c>
    </row>
    <row r="50" spans="1:37">
      <c r="A50" s="46" t="s">
        <v>212</v>
      </c>
      <c r="C50" s="46" t="s">
        <v>101</v>
      </c>
      <c r="D50" s="205">
        <f>IF(D$47&lt;=KPI!$O$2,D28/$AK$26,"")</f>
        <v>0</v>
      </c>
      <c r="E50" s="205">
        <f>IF(E$47&lt;=KPI!$O$2,E28/$AK$26,"")</f>
        <v>0</v>
      </c>
      <c r="F50" s="205">
        <f>IF(F$47&lt;=KPI!$O$2,F28/$AK$26,"")</f>
        <v>0</v>
      </c>
      <c r="G50" s="205">
        <f>IF(G$47&lt;=KPI!$O$2,G28/$AK$26,"")</f>
        <v>0</v>
      </c>
      <c r="H50" s="205">
        <f>IF(H$47&lt;=KPI!$O$2,H28/$AK$26,"")</f>
        <v>4.5508184145810447E-3</v>
      </c>
      <c r="I50" s="205">
        <f>IF(I$47&lt;=KPI!$O$2,I28/$AK$26,"")</f>
        <v>1.0193830678793659E-2</v>
      </c>
      <c r="J50" s="205">
        <f>IF(J$47&lt;=KPI!$O$2,J28/$AK$26,"")</f>
        <v>1.5654799926951506E-2</v>
      </c>
      <c r="K50" s="205">
        <f>IF(K$47&lt;=KPI!$O$2,K28/$AK$26,"")</f>
        <v>1.6382939867822056E-2</v>
      </c>
      <c r="L50" s="205">
        <f>IF(L$47&lt;=KPI!$O$2,L28/$AK$26,"")</f>
        <v>1.6382939867822056E-2</v>
      </c>
      <c r="M50" s="205">
        <f>IF(M$47&lt;=KPI!$O$2,M28/$AK$26,"")</f>
        <v>1.6382939867822056E-2</v>
      </c>
      <c r="N50" s="205">
        <f>IF(N$47&lt;=KPI!$O$2,N28/$AK$26,"")</f>
        <v>1.6382939867822056E-2</v>
      </c>
      <c r="O50" s="205">
        <f>IF(O$47&lt;=KPI!$O$2,O28/$AK$26,"")</f>
        <v>1.6382939867822056E-2</v>
      </c>
      <c r="P50" s="205">
        <f>IF(P$47&lt;=KPI!$O$2,P28/$AK$26,"")</f>
        <v>1.6382939867822056E-2</v>
      </c>
      <c r="Q50" s="205">
        <f>IF(Q$47&lt;=KPI!$O$2,Q28/$AK$26,"")</f>
        <v>1.6382939867822056E-2</v>
      </c>
      <c r="R50" s="205">
        <f>IF(R$47&lt;=KPI!$O$2,R28/$AK$26,"")</f>
        <v>1.6382939867822056E-2</v>
      </c>
      <c r="S50" s="205">
        <f>IF(S$47&lt;=KPI!$O$2,S28/$AK$26,"")</f>
        <v>1.6382939867822056E-2</v>
      </c>
      <c r="T50" s="205">
        <f>IF(T$47&lt;=KPI!$O$2,T28/$AK$26,"")</f>
        <v>1.6382939867822056E-2</v>
      </c>
      <c r="U50" s="205">
        <f>IF(U$47&lt;=KPI!$O$2,U28/$AK$26,"")</f>
        <v>1.6382939867822056E-2</v>
      </c>
      <c r="V50" s="205">
        <f>IF(V$47&lt;=KPI!$O$2,V28/$AK$26,"")</f>
        <v>1.6382939867822056E-2</v>
      </c>
      <c r="W50" s="205">
        <f>IF(W$47&lt;=KPI!$O$2,W28/$AK$26,"")</f>
        <v>1.6382939867822056E-2</v>
      </c>
      <c r="X50" s="205">
        <f>IF(X$47&lt;=KPI!$O$2,X28/$AK$26,"")</f>
        <v>1.6382939867822056E-2</v>
      </c>
      <c r="Y50" s="205">
        <f>IF(Y$47&lt;=KPI!$O$2,Y28/$AK$26,"")</f>
        <v>1.6382939867822056E-2</v>
      </c>
      <c r="Z50" s="205" t="str">
        <f>IF(Z$47&lt;=KPI!$O$2,Z28/$AK$26,"")</f>
        <v/>
      </c>
      <c r="AA50" s="205" t="str">
        <f>IF(AA$47&lt;=KPI!$O$2,AA28/$AK$26,"")</f>
        <v/>
      </c>
      <c r="AB50" s="205" t="str">
        <f>IF(AB$47&lt;=KPI!$O$2,AB28/$AK$26,"")</f>
        <v/>
      </c>
      <c r="AC50" s="205" t="str">
        <f>IF(AC$47&lt;=KPI!$O$2,AC28/$AK$26,"")</f>
        <v/>
      </c>
      <c r="AD50" s="205" t="str">
        <f>IF(AD$47&lt;=KPI!$O$2,AD28/$AK$26,"")</f>
        <v/>
      </c>
      <c r="AE50" s="205" t="str">
        <f>IF(AE$47&lt;=KPI!$O$2,AE28/$AK$26,"")</f>
        <v/>
      </c>
      <c r="AF50" s="205" t="str">
        <f>IF(AF$47&lt;=KPI!$O$2,AF28/$AK$26,"")</f>
        <v/>
      </c>
      <c r="AG50" s="205" t="str">
        <f>IF(AG$47&lt;=KPI!$O$2,AG28/$AK$26,"")</f>
        <v/>
      </c>
      <c r="AH50" s="205" t="str">
        <f>IF(AH$47&lt;=KPI!$O$2,AH28/$AK$26,"")</f>
        <v/>
      </c>
      <c r="AI50" s="205" t="str">
        <f>IF(AI$47&lt;=KPI!$O$2,AI28/$AK$26,"")</f>
        <v/>
      </c>
      <c r="AJ50" s="205" t="str">
        <f>IF(AJ$47&lt;=KPI!$O$2,AJ28/$AK$26,"")</f>
        <v/>
      </c>
      <c r="AK50" s="205" t="str">
        <f>IF(AK$47&lt;=KPI!$O$2,AK28/$AK$26,"")</f>
        <v/>
      </c>
    </row>
    <row r="51" spans="1:37">
      <c r="A51" s="46" t="s">
        <v>213</v>
      </c>
      <c r="C51" s="46" t="s">
        <v>172</v>
      </c>
      <c r="D51" s="205">
        <f>IF(D$47&lt;=KPI!$O$2,D29/$AK$26,"")</f>
        <v>0</v>
      </c>
      <c r="E51" s="205">
        <f>IF(E$47&lt;=KPI!$O$2,E29/$AK$26,"")</f>
        <v>0</v>
      </c>
      <c r="F51" s="205">
        <f>IF(F$47&lt;=KPI!$O$2,F29/$AK$26,"")</f>
        <v>0</v>
      </c>
      <c r="G51" s="205">
        <f>IF(G$47&lt;=KPI!$O$2,G29/$AK$26,"")</f>
        <v>0</v>
      </c>
      <c r="H51" s="205">
        <f>IF(H$47&lt;=KPI!$O$2,H29/$AK$26,"")</f>
        <v>0</v>
      </c>
      <c r="I51" s="205">
        <f>IF(I$47&lt;=KPI!$O$2,I29/$AK$26,"")</f>
        <v>6.3310943894805032E-3</v>
      </c>
      <c r="J51" s="205">
        <f>IF(J$47&lt;=KPI!$O$2,J29/$AK$26,"")</f>
        <v>1.2880499055493246E-2</v>
      </c>
      <c r="K51" s="205">
        <f>IF(K$47&lt;=KPI!$O$2,K29/$AK$26,"")</f>
        <v>1.9648246121386746E-2</v>
      </c>
      <c r="L51" s="205">
        <f>IF(L$47&lt;=KPI!$O$2,L29/$AK$26,"")</f>
        <v>2.6197650787399489E-2</v>
      </c>
      <c r="M51" s="205">
        <f>IF(M$47&lt;=KPI!$O$2,M29/$AK$26,"")</f>
        <v>3.2965397853292985E-2</v>
      </c>
      <c r="N51" s="205">
        <f>IF(N$47&lt;=KPI!$O$2,N29/$AK$26,"")</f>
        <v>3.9733144919186489E-2</v>
      </c>
      <c r="O51" s="205">
        <f>IF(O$47&lt;=KPI!$O$2,O29/$AK$26,"")</f>
        <v>4.6282549585199229E-2</v>
      </c>
      <c r="P51" s="205">
        <f>IF(P$47&lt;=KPI!$O$2,P29/$AK$26,"")</f>
        <v>5.3050296651092732E-2</v>
      </c>
      <c r="Q51" s="205">
        <f>IF(Q$47&lt;=KPI!$O$2,Q29/$AK$26,"")</f>
        <v>5.9599701317105472E-2</v>
      </c>
      <c r="R51" s="205">
        <f>IF(R$47&lt;=KPI!$O$2,R29/$AK$26,"")</f>
        <v>6.6367448382998975E-2</v>
      </c>
      <c r="S51" s="205">
        <f>IF(S$47&lt;=KPI!$O$2,S29/$AK$26,"")</f>
        <v>7.3135195448892479E-2</v>
      </c>
      <c r="T51" s="205">
        <f>IF(T$47&lt;=KPI!$O$2,T29/$AK$26,"")</f>
        <v>7.9247979561840737E-2</v>
      </c>
      <c r="U51" s="205">
        <f>IF(U$47&lt;=KPI!$O$2,U29/$AK$26,"")</f>
        <v>8.601572662773424E-2</v>
      </c>
      <c r="V51" s="205">
        <f>IF(V$47&lt;=KPI!$O$2,V29/$AK$26,"")</f>
        <v>9.256513129374698E-2</v>
      </c>
      <c r="W51" s="205">
        <f>IF(W$47&lt;=KPI!$O$2,W29/$AK$26,"")</f>
        <v>9.9332878359640484E-2</v>
      </c>
      <c r="X51" s="205">
        <f>IF(X$47&lt;=KPI!$O$2,X29/$AK$26,"")</f>
        <v>0.10588228302565322</v>
      </c>
      <c r="Y51" s="205">
        <f>IF(Y$47&lt;=KPI!$O$2,Y29/$AK$26,"")</f>
        <v>0.11243168769166596</v>
      </c>
      <c r="Z51" s="205" t="str">
        <f>IF(Z$47&lt;=KPI!$O$2,Z29/$AK$26,"")</f>
        <v/>
      </c>
      <c r="AA51" s="205" t="str">
        <f>IF(AA$47&lt;=KPI!$O$2,AA29/$AK$26,"")</f>
        <v/>
      </c>
      <c r="AB51" s="205" t="str">
        <f>IF(AB$47&lt;=KPI!$O$2,AB29/$AK$26,"")</f>
        <v/>
      </c>
      <c r="AC51" s="205" t="str">
        <f>IF(AC$47&lt;=KPI!$O$2,AC29/$AK$26,"")</f>
        <v/>
      </c>
      <c r="AD51" s="205" t="str">
        <f>IF(AD$47&lt;=KPI!$O$2,AD29/$AK$26,"")</f>
        <v/>
      </c>
      <c r="AE51" s="205" t="str">
        <f>IF(AE$47&lt;=KPI!$O$2,AE29/$AK$26,"")</f>
        <v/>
      </c>
      <c r="AF51" s="205" t="str">
        <f>IF(AF$47&lt;=KPI!$O$2,AF29/$AK$26,"")</f>
        <v/>
      </c>
      <c r="AG51" s="205" t="str">
        <f>IF(AG$47&lt;=KPI!$O$2,AG29/$AK$26,"")</f>
        <v/>
      </c>
      <c r="AH51" s="205" t="str">
        <f>IF(AH$47&lt;=KPI!$O$2,AH29/$AK$26,"")</f>
        <v/>
      </c>
      <c r="AI51" s="205" t="str">
        <f>IF(AI$47&lt;=KPI!$O$2,AI29/$AK$26,"")</f>
        <v/>
      </c>
      <c r="AJ51" s="205" t="str">
        <f>IF(AJ$47&lt;=KPI!$O$2,AJ29/$AK$26,"")</f>
        <v/>
      </c>
      <c r="AK51" s="205" t="str">
        <f>IF(AK$47&lt;=KPI!$O$2,AK29/$AK$26,"")</f>
        <v/>
      </c>
    </row>
    <row r="52" spans="1:37">
      <c r="A52" s="46" t="s">
        <v>214</v>
      </c>
      <c r="C52" s="46" t="s">
        <v>174</v>
      </c>
      <c r="D52" s="205">
        <f>IF(D$47&lt;=KPI!$O$2,D30/$AK$26,"")</f>
        <v>0</v>
      </c>
      <c r="E52" s="205">
        <f>IF(E$47&lt;=KPI!$O$2,E30/$AK$26,"")</f>
        <v>0</v>
      </c>
      <c r="F52" s="205">
        <f>IF(F$47&lt;=KPI!$O$2,F30/$AK$26,"")</f>
        <v>0</v>
      </c>
      <c r="G52" s="205">
        <f>IF(G$47&lt;=KPI!$O$2,G30/$AK$26,"")</f>
        <v>0</v>
      </c>
      <c r="H52" s="205">
        <f>IF(H$47&lt;=KPI!$O$2,H30/$AK$26,"")</f>
        <v>0</v>
      </c>
      <c r="I52" s="205">
        <f>IF(I$47&lt;=KPI!$O$2,I30/$AK$26,"")</f>
        <v>2.7780593032349335E-3</v>
      </c>
      <c r="J52" s="205">
        <f>IF(J$47&lt;=KPI!$O$2,J30/$AK$26,"")</f>
        <v>5.6519104317522594E-3</v>
      </c>
      <c r="K52" s="205">
        <f>IF(K$47&lt;=KPI!$O$2,K30/$AK$26,"")</f>
        <v>8.621553385551978E-3</v>
      </c>
      <c r="L52" s="205">
        <f>IF(L$47&lt;=KPI!$O$2,L30/$AK$26,"")</f>
        <v>1.1495404514069303E-2</v>
      </c>
      <c r="M52" s="205">
        <f>IF(M$47&lt;=KPI!$O$2,M30/$AK$26,"")</f>
        <v>1.4465047467869023E-2</v>
      </c>
      <c r="N52" s="205">
        <f>IF(N$47&lt;=KPI!$O$2,N30/$AK$26,"")</f>
        <v>1.7434690421668741E-2</v>
      </c>
      <c r="O52" s="205">
        <f>IF(O$47&lt;=KPI!$O$2,O30/$AK$26,"")</f>
        <v>2.0308541550186066E-2</v>
      </c>
      <c r="P52" s="205">
        <f>IF(P$47&lt;=KPI!$O$2,P30/$AK$26,"")</f>
        <v>2.3278184503985784E-2</v>
      </c>
      <c r="Q52" s="205">
        <f>IF(Q$47&lt;=KPI!$O$2,Q30/$AK$26,"")</f>
        <v>2.6152035632503109E-2</v>
      </c>
      <c r="R52" s="205">
        <f>IF(R$47&lt;=KPI!$O$2,R30/$AK$26,"")</f>
        <v>2.9121678586302831E-2</v>
      </c>
      <c r="S52" s="205">
        <f>IF(S$47&lt;=KPI!$O$2,S30/$AK$26,"")</f>
        <v>3.2091321540102545E-2</v>
      </c>
      <c r="T52" s="205">
        <f>IF(T$47&lt;=KPI!$O$2,T30/$AK$26,"")</f>
        <v>3.4773589018055086E-2</v>
      </c>
      <c r="U52" s="205">
        <f>IF(U$47&lt;=KPI!$O$2,U30/$AK$26,"")</f>
        <v>3.7743231971854807E-2</v>
      </c>
      <c r="V52" s="205">
        <f>IF(V$47&lt;=KPI!$O$2,V30/$AK$26,"")</f>
        <v>4.0617083100372132E-2</v>
      </c>
      <c r="W52" s="205">
        <f>IF(W$47&lt;=KPI!$O$2,W30/$AK$26,"")</f>
        <v>4.3586726054171854E-2</v>
      </c>
      <c r="X52" s="205">
        <f>IF(X$47&lt;=KPI!$O$2,X30/$AK$26,"")</f>
        <v>4.6460577182689179E-2</v>
      </c>
      <c r="Y52" s="205">
        <f>IF(Y$47&lt;=KPI!$O$2,Y30/$AK$26,"")</f>
        <v>4.8184894284469273E-2</v>
      </c>
      <c r="Z52" s="205" t="str">
        <f>IF(Z$47&lt;=KPI!$O$2,Z30/$AK$26,"")</f>
        <v/>
      </c>
      <c r="AA52" s="205" t="str">
        <f>IF(AA$47&lt;=KPI!$O$2,AA30/$AK$26,"")</f>
        <v/>
      </c>
      <c r="AB52" s="205" t="str">
        <f>IF(AB$47&lt;=KPI!$O$2,AB30/$AK$26,"")</f>
        <v/>
      </c>
      <c r="AC52" s="205" t="str">
        <f>IF(AC$47&lt;=KPI!$O$2,AC30/$AK$26,"")</f>
        <v/>
      </c>
      <c r="AD52" s="205" t="str">
        <f>IF(AD$47&lt;=KPI!$O$2,AD30/$AK$26,"")</f>
        <v/>
      </c>
      <c r="AE52" s="205" t="str">
        <f>IF(AE$47&lt;=KPI!$O$2,AE30/$AK$26,"")</f>
        <v/>
      </c>
      <c r="AF52" s="205" t="str">
        <f>IF(AF$47&lt;=KPI!$O$2,AF30/$AK$26,"")</f>
        <v/>
      </c>
      <c r="AG52" s="205" t="str">
        <f>IF(AG$47&lt;=KPI!$O$2,AG30/$AK$26,"")</f>
        <v/>
      </c>
      <c r="AH52" s="205" t="str">
        <f>IF(AH$47&lt;=KPI!$O$2,AH30/$AK$26,"")</f>
        <v/>
      </c>
      <c r="AI52" s="205" t="str">
        <f>IF(AI$47&lt;=KPI!$O$2,AI30/$AK$26,"")</f>
        <v/>
      </c>
      <c r="AJ52" s="205" t="str">
        <f>IF(AJ$47&lt;=KPI!$O$2,AJ30/$AK$26,"")</f>
        <v/>
      </c>
      <c r="AK52" s="205" t="str">
        <f>IF(AK$47&lt;=KPI!$O$2,AK30/$AK$26,"")</f>
        <v/>
      </c>
    </row>
    <row r="53" spans="1:37">
      <c r="A53" s="46" t="s">
        <v>215</v>
      </c>
      <c r="C53" s="46" t="s">
        <v>153</v>
      </c>
      <c r="D53" s="205">
        <f>IF(D$47&lt;=KPI!$O$2,D31/$AK$26,"")</f>
        <v>0</v>
      </c>
      <c r="E53" s="205">
        <f>IF(E$47&lt;=KPI!$O$2,E31/$AK$26,"")</f>
        <v>0</v>
      </c>
      <c r="F53" s="205">
        <f>IF(F$47&lt;=KPI!$O$2,F31/$AK$26,"")</f>
        <v>0</v>
      </c>
      <c r="G53" s="205">
        <f>IF(G$47&lt;=KPI!$O$2,G31/$AK$26,"")</f>
        <v>0</v>
      </c>
      <c r="H53" s="205">
        <f>IF(H$47&lt;=KPI!$O$2,H31/$AK$26,"")</f>
        <v>8.3784117606148796E-4</v>
      </c>
      <c r="I53" s="205">
        <f>IF(I$47&lt;=KPI!$O$2,I31/$AK$26,"")</f>
        <v>1.7654671112323946E-3</v>
      </c>
      <c r="J53" s="205">
        <f>IF(J$47&lt;=KPI!$O$2,J31/$AK$26,"")</f>
        <v>2.6631540855839887E-3</v>
      </c>
      <c r="K53" s="205">
        <f>IF(K$47&lt;=KPI!$O$2,K31/$AK$26,"")</f>
        <v>3.5907800207548956E-3</v>
      </c>
      <c r="L53" s="205">
        <f>IF(L$47&lt;=KPI!$O$2,L31/$AK$26,"")</f>
        <v>4.4884669951064894E-3</v>
      </c>
      <c r="M53" s="205">
        <f>IF(M$47&lt;=KPI!$O$2,M31/$AK$26,"")</f>
        <v>5.4160929302773967E-3</v>
      </c>
      <c r="N53" s="205">
        <f>IF(N$47&lt;=KPI!$O$2,N31/$AK$26,"")</f>
        <v>6.3437188654483032E-3</v>
      </c>
      <c r="O53" s="205">
        <f>IF(O$47&lt;=KPI!$O$2,O31/$AK$26,"")</f>
        <v>7.2414058397998974E-3</v>
      </c>
      <c r="P53" s="205">
        <f>IF(P$47&lt;=KPI!$O$2,P31/$AK$26,"")</f>
        <v>8.1690317749708048E-3</v>
      </c>
      <c r="Q53" s="205">
        <f>IF(Q$47&lt;=KPI!$O$2,Q31/$AK$26,"")</f>
        <v>9.0667187493223989E-3</v>
      </c>
      <c r="R53" s="205">
        <f>IF(R$47&lt;=KPI!$O$2,R31/$AK$26,"")</f>
        <v>9.9943446844933045E-3</v>
      </c>
      <c r="S53" s="205">
        <f>IF(S$47&lt;=KPI!$O$2,S31/$AK$26,"")</f>
        <v>1.0921970619664212E-2</v>
      </c>
      <c r="T53" s="205">
        <f>IF(T$47&lt;=KPI!$O$2,T31/$AK$26,"")</f>
        <v>1.0921970619664212E-2</v>
      </c>
      <c r="U53" s="205">
        <f>IF(U$47&lt;=KPI!$O$2,U31/$AK$26,"")</f>
        <v>1.0921970619664212E-2</v>
      </c>
      <c r="V53" s="205">
        <f>IF(V$47&lt;=KPI!$O$2,V31/$AK$26,"")</f>
        <v>1.0921970619664212E-2</v>
      </c>
      <c r="W53" s="205">
        <f>IF(W$47&lt;=KPI!$O$2,W31/$AK$26,"")</f>
        <v>1.0921970619664212E-2</v>
      </c>
      <c r="X53" s="205">
        <f>IF(X$47&lt;=KPI!$O$2,X31/$AK$26,"")</f>
        <v>1.0921970619664212E-2</v>
      </c>
      <c r="Y53" s="205">
        <f>IF(Y$47&lt;=KPI!$O$2,Y31/$AK$26,"")</f>
        <v>1.0921970619664212E-2</v>
      </c>
      <c r="Z53" s="205" t="str">
        <f>IF(Z$47&lt;=KPI!$O$2,Z31/$AK$26,"")</f>
        <v/>
      </c>
      <c r="AA53" s="205" t="str">
        <f>IF(AA$47&lt;=KPI!$O$2,AA31/$AK$26,"")</f>
        <v/>
      </c>
      <c r="AB53" s="205" t="str">
        <f>IF(AB$47&lt;=KPI!$O$2,AB31/$AK$26,"")</f>
        <v/>
      </c>
      <c r="AC53" s="205" t="str">
        <f>IF(AC$47&lt;=KPI!$O$2,AC31/$AK$26,"")</f>
        <v/>
      </c>
      <c r="AD53" s="205" t="str">
        <f>IF(AD$47&lt;=KPI!$O$2,AD31/$AK$26,"")</f>
        <v/>
      </c>
      <c r="AE53" s="205" t="str">
        <f>IF(AE$47&lt;=KPI!$O$2,AE31/$AK$26,"")</f>
        <v/>
      </c>
      <c r="AF53" s="205" t="str">
        <f>IF(AF$47&lt;=KPI!$O$2,AF31/$AK$26,"")</f>
        <v/>
      </c>
      <c r="AG53" s="205" t="str">
        <f>IF(AG$47&lt;=KPI!$O$2,AG31/$AK$26,"")</f>
        <v/>
      </c>
      <c r="AH53" s="205" t="str">
        <f>IF(AH$47&lt;=KPI!$O$2,AH31/$AK$26,"")</f>
        <v/>
      </c>
      <c r="AI53" s="205" t="str">
        <f>IF(AI$47&lt;=KPI!$O$2,AI31/$AK$26,"")</f>
        <v/>
      </c>
      <c r="AJ53" s="205" t="str">
        <f>IF(AJ$47&lt;=KPI!$O$2,AJ31/$AK$26,"")</f>
        <v/>
      </c>
      <c r="AK53" s="205" t="str">
        <f>IF(AK$47&lt;=KPI!$O$2,AK31/$AK$26,"")</f>
        <v/>
      </c>
    </row>
    <row r="54" spans="1:37">
      <c r="A54" s="46" t="s">
        <v>216</v>
      </c>
      <c r="C54" s="46" t="s">
        <v>111</v>
      </c>
      <c r="D54" s="205">
        <f>IF(D$47&lt;=KPI!$O$2,D32/$AK$26,"")</f>
        <v>0</v>
      </c>
      <c r="E54" s="205">
        <f>IF(E$47&lt;=KPI!$O$2,E32/$AK$26,"")</f>
        <v>0</v>
      </c>
      <c r="F54" s="205">
        <f>IF(F$47&lt;=KPI!$O$2,F32/$AK$26,"")</f>
        <v>0</v>
      </c>
      <c r="G54" s="205">
        <f>IF(G$47&lt;=KPI!$O$2,G32/$AK$26,"")</f>
        <v>0</v>
      </c>
      <c r="H54" s="205">
        <f>IF(H$47&lt;=KPI!$O$2,H32/$AK$26,"")</f>
        <v>0</v>
      </c>
      <c r="I54" s="205">
        <f>IF(I$47&lt;=KPI!$O$2,I32/$AK$26,"")</f>
        <v>0</v>
      </c>
      <c r="J54" s="205">
        <f>IF(J$47&lt;=KPI!$O$2,J32/$AK$26,"")</f>
        <v>0</v>
      </c>
      <c r="K54" s="205">
        <f>IF(K$47&lt;=KPI!$O$2,K32/$AK$26,"")</f>
        <v>0</v>
      </c>
      <c r="L54" s="205">
        <f>IF(L$47&lt;=KPI!$O$2,L32/$AK$26,"")</f>
        <v>0</v>
      </c>
      <c r="M54" s="205">
        <f>IF(M$47&lt;=KPI!$O$2,M32/$AK$26,"")</f>
        <v>0</v>
      </c>
      <c r="N54" s="205">
        <f>IF(N$47&lt;=KPI!$O$2,N32/$AK$26,"")</f>
        <v>0</v>
      </c>
      <c r="O54" s="205">
        <f>IF(O$47&lt;=KPI!$O$2,O32/$AK$26,"")</f>
        <v>0</v>
      </c>
      <c r="P54" s="205">
        <f>IF(P$47&lt;=KPI!$O$2,P32/$AK$26,"")</f>
        <v>0</v>
      </c>
      <c r="Q54" s="205">
        <f>IF(Q$47&lt;=KPI!$O$2,Q32/$AK$26,"")</f>
        <v>0</v>
      </c>
      <c r="R54" s="205">
        <f>IF(R$47&lt;=KPI!$O$2,R32/$AK$26,"")</f>
        <v>0</v>
      </c>
      <c r="S54" s="205">
        <f>IF(S$47&lt;=KPI!$O$2,S32/$AK$26,"")</f>
        <v>0</v>
      </c>
      <c r="T54" s="205">
        <f>IF(T$47&lt;=KPI!$O$2,T32/$AK$26,"")</f>
        <v>0</v>
      </c>
      <c r="U54" s="205">
        <f>IF(U$47&lt;=KPI!$O$2,U32/$AK$26,"")</f>
        <v>0</v>
      </c>
      <c r="V54" s="205">
        <f>IF(V$47&lt;=KPI!$O$2,V32/$AK$26,"")</f>
        <v>0</v>
      </c>
      <c r="W54" s="205">
        <f>IF(W$47&lt;=KPI!$O$2,W32/$AK$26,"")</f>
        <v>0</v>
      </c>
      <c r="X54" s="205">
        <f>IF(X$47&lt;=KPI!$O$2,X32/$AK$26,"")</f>
        <v>0</v>
      </c>
      <c r="Y54" s="205">
        <f>IF(Y$47&lt;=KPI!$O$2,Y32/$AK$26,"")</f>
        <v>1.8160935084976697E-3</v>
      </c>
      <c r="Z54" s="205" t="str">
        <f>IF(Z$47&lt;=KPI!$O$2,Z32/$AK$26,"")</f>
        <v/>
      </c>
      <c r="AA54" s="205" t="str">
        <f>IF(AA$47&lt;=KPI!$O$2,AA32/$AK$26,"")</f>
        <v/>
      </c>
      <c r="AB54" s="205" t="str">
        <f>IF(AB$47&lt;=KPI!$O$2,AB32/$AK$26,"")</f>
        <v/>
      </c>
      <c r="AC54" s="205" t="str">
        <f>IF(AC$47&lt;=KPI!$O$2,AC32/$AK$26,"")</f>
        <v/>
      </c>
      <c r="AD54" s="205" t="str">
        <f>IF(AD$47&lt;=KPI!$O$2,AD32/$AK$26,"")</f>
        <v/>
      </c>
      <c r="AE54" s="205" t="str">
        <f>IF(AE$47&lt;=KPI!$O$2,AE32/$AK$26,"")</f>
        <v/>
      </c>
      <c r="AF54" s="205" t="str">
        <f>IF(AF$47&lt;=KPI!$O$2,AF32/$AK$26,"")</f>
        <v/>
      </c>
      <c r="AG54" s="205" t="str">
        <f>IF(AG$47&lt;=KPI!$O$2,AG32/$AK$26,"")</f>
        <v/>
      </c>
      <c r="AH54" s="205" t="str">
        <f>IF(AH$47&lt;=KPI!$O$2,AH32/$AK$26,"")</f>
        <v/>
      </c>
      <c r="AI54" s="205" t="str">
        <f>IF(AI$47&lt;=KPI!$O$2,AI32/$AK$26,"")</f>
        <v/>
      </c>
      <c r="AJ54" s="205" t="str">
        <f>IF(AJ$47&lt;=KPI!$O$2,AJ32/$AK$26,"")</f>
        <v/>
      </c>
      <c r="AK54" s="205" t="str">
        <f>IF(AK$47&lt;=KPI!$O$2,AK32/$AK$26,"")</f>
        <v/>
      </c>
    </row>
    <row r="55" spans="1:37">
      <c r="A55" s="46" t="s">
        <v>217</v>
      </c>
      <c r="C55" s="46" t="s">
        <v>134</v>
      </c>
      <c r="D55" s="205">
        <f>IF(D$47&lt;=KPI!$O$2,D33/$AK$26,"")</f>
        <v>0</v>
      </c>
      <c r="E55" s="205">
        <f>IF(E$47&lt;=KPI!$O$2,E33/$AK$26,"")</f>
        <v>0</v>
      </c>
      <c r="F55" s="205">
        <f>IF(F$47&lt;=KPI!$O$2,F33/$AK$26,"")</f>
        <v>0</v>
      </c>
      <c r="G55" s="205">
        <f>IF(G$47&lt;=KPI!$O$2,G33/$AK$26,"")</f>
        <v>0</v>
      </c>
      <c r="H55" s="205">
        <f>IF(H$47&lt;=KPI!$O$2,H33/$AK$26,"")</f>
        <v>0</v>
      </c>
      <c r="I55" s="205">
        <f>IF(I$47&lt;=KPI!$O$2,I33/$AK$26,"")</f>
        <v>0</v>
      </c>
      <c r="J55" s="205">
        <f>IF(J$47&lt;=KPI!$O$2,J33/$AK$26,"")</f>
        <v>0</v>
      </c>
      <c r="K55" s="205">
        <f>IF(K$47&lt;=KPI!$O$2,K33/$AK$26,"")</f>
        <v>0</v>
      </c>
      <c r="L55" s="205">
        <f>IF(L$47&lt;=KPI!$O$2,L33/$AK$26,"")</f>
        <v>0</v>
      </c>
      <c r="M55" s="205">
        <f>IF(M$47&lt;=KPI!$O$2,M33/$AK$26,"")</f>
        <v>0</v>
      </c>
      <c r="N55" s="205">
        <f>IF(N$47&lt;=KPI!$O$2,N33/$AK$26,"")</f>
        <v>0</v>
      </c>
      <c r="O55" s="205">
        <f>IF(O$47&lt;=KPI!$O$2,O33/$AK$26,"")</f>
        <v>0</v>
      </c>
      <c r="P55" s="205">
        <f>IF(P$47&lt;=KPI!$O$2,P33/$AK$26,"")</f>
        <v>0</v>
      </c>
      <c r="Q55" s="205">
        <f>IF(Q$47&lt;=KPI!$O$2,Q33/$AK$26,"")</f>
        <v>0</v>
      </c>
      <c r="R55" s="205">
        <f>IF(R$47&lt;=KPI!$O$2,R33/$AK$26,"")</f>
        <v>0</v>
      </c>
      <c r="S55" s="205">
        <f>IF(S$47&lt;=KPI!$O$2,S33/$AK$26,"")</f>
        <v>0</v>
      </c>
      <c r="T55" s="205">
        <f>IF(T$47&lt;=KPI!$O$2,T33/$AK$26,"")</f>
        <v>0</v>
      </c>
      <c r="U55" s="205">
        <f>IF(U$47&lt;=KPI!$O$2,U33/$AK$26,"")</f>
        <v>0</v>
      </c>
      <c r="V55" s="205">
        <f>IF(V$47&lt;=KPI!$O$2,V33/$AK$26,"")</f>
        <v>0</v>
      </c>
      <c r="W55" s="205">
        <f>IF(W$47&lt;=KPI!$O$2,W33/$AK$26,"")</f>
        <v>0</v>
      </c>
      <c r="X55" s="205">
        <f>IF(X$47&lt;=KPI!$O$2,X33/$AK$26,"")</f>
        <v>0</v>
      </c>
      <c r="Y55" s="205">
        <f>IF(Y$47&lt;=KPI!$O$2,Y33/$AK$26,"")</f>
        <v>5.7462888296998344E-3</v>
      </c>
      <c r="Z55" s="205" t="str">
        <f>IF(Z$47&lt;=KPI!$O$2,Z33/$AK$26,"")</f>
        <v/>
      </c>
      <c r="AA55" s="205" t="str">
        <f>IF(AA$47&lt;=KPI!$O$2,AA33/$AK$26,"")</f>
        <v/>
      </c>
      <c r="AB55" s="205" t="str">
        <f>IF(AB$47&lt;=KPI!$O$2,AB33/$AK$26,"")</f>
        <v/>
      </c>
      <c r="AC55" s="205" t="str">
        <f>IF(AC$47&lt;=KPI!$O$2,AC33/$AK$26,"")</f>
        <v/>
      </c>
      <c r="AD55" s="205" t="str">
        <f>IF(AD$47&lt;=KPI!$O$2,AD33/$AK$26,"")</f>
        <v/>
      </c>
      <c r="AE55" s="205" t="str">
        <f>IF(AE$47&lt;=KPI!$O$2,AE33/$AK$26,"")</f>
        <v/>
      </c>
      <c r="AF55" s="205" t="str">
        <f>IF(AF$47&lt;=KPI!$O$2,AF33/$AK$26,"")</f>
        <v/>
      </c>
      <c r="AG55" s="205" t="str">
        <f>IF(AG$47&lt;=KPI!$O$2,AG33/$AK$26,"")</f>
        <v/>
      </c>
      <c r="AH55" s="205" t="str">
        <f>IF(AH$47&lt;=KPI!$O$2,AH33/$AK$26,"")</f>
        <v/>
      </c>
      <c r="AI55" s="205" t="str">
        <f>IF(AI$47&lt;=KPI!$O$2,AI33/$AK$26,"")</f>
        <v/>
      </c>
      <c r="AJ55" s="205" t="str">
        <f>IF(AJ$47&lt;=KPI!$O$2,AJ33/$AK$26,"")</f>
        <v/>
      </c>
      <c r="AK55" s="205" t="str">
        <f>IF(AK$47&lt;=KPI!$O$2,AK33/$AK$26,"")</f>
        <v/>
      </c>
    </row>
    <row r="56" spans="1:37">
      <c r="A56" s="46" t="s">
        <v>218</v>
      </c>
      <c r="C56" s="46" t="s">
        <v>112</v>
      </c>
      <c r="D56" s="205">
        <f>IF(D$47&lt;=KPI!$O$2,D34/$AK$26,"")</f>
        <v>0</v>
      </c>
      <c r="E56" s="205">
        <f>IF(E$47&lt;=KPI!$O$2,E34/$AK$26,"")</f>
        <v>0</v>
      </c>
      <c r="F56" s="205">
        <f>IF(F$47&lt;=KPI!$O$2,F34/$AK$26,"")</f>
        <v>0</v>
      </c>
      <c r="G56" s="205">
        <f>IF(G$47&lt;=KPI!$O$2,G34/$AK$26,"")</f>
        <v>0</v>
      </c>
      <c r="H56" s="205">
        <f>IF(H$47&lt;=KPI!$O$2,H34/$AK$26,"")</f>
        <v>0</v>
      </c>
      <c r="I56" s="205">
        <f>IF(I$47&lt;=KPI!$O$2,I34/$AK$26,"")</f>
        <v>0</v>
      </c>
      <c r="J56" s="205">
        <f>IF(J$47&lt;=KPI!$O$2,J34/$AK$26,"")</f>
        <v>0</v>
      </c>
      <c r="K56" s="205">
        <f>IF(K$47&lt;=KPI!$O$2,K34/$AK$26,"")</f>
        <v>0</v>
      </c>
      <c r="L56" s="205">
        <f>IF(L$47&lt;=KPI!$O$2,L34/$AK$26,"")</f>
        <v>0</v>
      </c>
      <c r="M56" s="205">
        <f>IF(M$47&lt;=KPI!$O$2,M34/$AK$26,"")</f>
        <v>0</v>
      </c>
      <c r="N56" s="205">
        <f>IF(N$47&lt;=KPI!$O$2,N34/$AK$26,"")</f>
        <v>0</v>
      </c>
      <c r="O56" s="205">
        <f>IF(O$47&lt;=KPI!$O$2,O34/$AK$26,"")</f>
        <v>0</v>
      </c>
      <c r="P56" s="205">
        <f>IF(P$47&lt;=KPI!$O$2,P34/$AK$26,"")</f>
        <v>0</v>
      </c>
      <c r="Q56" s="205">
        <f>IF(Q$47&lt;=KPI!$O$2,Q34/$AK$26,"")</f>
        <v>0</v>
      </c>
      <c r="R56" s="205">
        <f>IF(R$47&lt;=KPI!$O$2,R34/$AK$26,"")</f>
        <v>0</v>
      </c>
      <c r="S56" s="205">
        <f>IF(S$47&lt;=KPI!$O$2,S34/$AK$26,"")</f>
        <v>0</v>
      </c>
      <c r="T56" s="205">
        <f>IF(T$47&lt;=KPI!$O$2,T34/$AK$26,"")</f>
        <v>0</v>
      </c>
      <c r="U56" s="205">
        <f>IF(U$47&lt;=KPI!$O$2,U34/$AK$26,"")</f>
        <v>0</v>
      </c>
      <c r="V56" s="205">
        <f>IF(V$47&lt;=KPI!$O$2,V34/$AK$26,"")</f>
        <v>0</v>
      </c>
      <c r="W56" s="205">
        <f>IF(W$47&lt;=KPI!$O$2,W34/$AK$26,"")</f>
        <v>0</v>
      </c>
      <c r="X56" s="205">
        <f>IF(X$47&lt;=KPI!$O$2,X34/$AK$26,"")</f>
        <v>0</v>
      </c>
      <c r="Y56" s="205">
        <f>IF(Y$47&lt;=KPI!$O$2,Y34/$AK$26,"")</f>
        <v>7.1828449754505336E-3</v>
      </c>
      <c r="Z56" s="205" t="str">
        <f>IF(Z$47&lt;=KPI!$O$2,Z34/$AK$26,"")</f>
        <v/>
      </c>
      <c r="AA56" s="205" t="str">
        <f>IF(AA$47&lt;=KPI!$O$2,AA34/$AK$26,"")</f>
        <v/>
      </c>
      <c r="AB56" s="205" t="str">
        <f>IF(AB$47&lt;=KPI!$O$2,AB34/$AK$26,"")</f>
        <v/>
      </c>
      <c r="AC56" s="205" t="str">
        <f>IF(AC$47&lt;=KPI!$O$2,AC34/$AK$26,"")</f>
        <v/>
      </c>
      <c r="AD56" s="205" t="str">
        <f>IF(AD$47&lt;=KPI!$O$2,AD34/$AK$26,"")</f>
        <v/>
      </c>
      <c r="AE56" s="205" t="str">
        <f>IF(AE$47&lt;=KPI!$O$2,AE34/$AK$26,"")</f>
        <v/>
      </c>
      <c r="AF56" s="205" t="str">
        <f>IF(AF$47&lt;=KPI!$O$2,AF34/$AK$26,"")</f>
        <v/>
      </c>
      <c r="AG56" s="205" t="str">
        <f>IF(AG$47&lt;=KPI!$O$2,AG34/$AK$26,"")</f>
        <v/>
      </c>
      <c r="AH56" s="205" t="str">
        <f>IF(AH$47&lt;=KPI!$O$2,AH34/$AK$26,"")</f>
        <v/>
      </c>
      <c r="AI56" s="205" t="str">
        <f>IF(AI$47&lt;=KPI!$O$2,AI34/$AK$26,"")</f>
        <v/>
      </c>
      <c r="AJ56" s="205" t="str">
        <f>IF(AJ$47&lt;=KPI!$O$2,AJ34/$AK$26,"")</f>
        <v/>
      </c>
      <c r="AK56" s="205" t="str">
        <f>IF(AK$47&lt;=KPI!$O$2,AK34/$AK$26,"")</f>
        <v/>
      </c>
    </row>
    <row r="57" spans="1:37">
      <c r="A57" s="46" t="s">
        <v>219</v>
      </c>
      <c r="C57" s="46" t="s">
        <v>104</v>
      </c>
      <c r="D57" s="205">
        <f>IF(D$47&lt;=KPI!$O$2,D35/$AK$26,"")</f>
        <v>0</v>
      </c>
      <c r="E57" s="205">
        <f>IF(E$47&lt;=KPI!$O$2,E35/$AK$26,"")</f>
        <v>0</v>
      </c>
      <c r="F57" s="205">
        <f>IF(F$47&lt;=KPI!$O$2,F35/$AK$26,"")</f>
        <v>0</v>
      </c>
      <c r="G57" s="205">
        <f>IF(G$47&lt;=KPI!$O$2,G35/$AK$26,"")</f>
        <v>0</v>
      </c>
      <c r="H57" s="205">
        <f>IF(H$47&lt;=KPI!$O$2,H35/$AK$26,"")</f>
        <v>0</v>
      </c>
      <c r="I57" s="205">
        <f>IF(I$47&lt;=KPI!$O$2,I35/$AK$26,"")</f>
        <v>0</v>
      </c>
      <c r="J57" s="205">
        <f>IF(J$47&lt;=KPI!$O$2,J35/$AK$26,"")</f>
        <v>0</v>
      </c>
      <c r="K57" s="205">
        <f>IF(K$47&lt;=KPI!$O$2,K35/$AK$26,"")</f>
        <v>0</v>
      </c>
      <c r="L57" s="205">
        <f>IF(L$47&lt;=KPI!$O$2,L35/$AK$26,"")</f>
        <v>0</v>
      </c>
      <c r="M57" s="205">
        <f>IF(M$47&lt;=KPI!$O$2,M35/$AK$26,"")</f>
        <v>0</v>
      </c>
      <c r="N57" s="205">
        <f>IF(N$47&lt;=KPI!$O$2,N35/$AK$26,"")</f>
        <v>0</v>
      </c>
      <c r="O57" s="205">
        <f>IF(O$47&lt;=KPI!$O$2,O35/$AK$26,"")</f>
        <v>0</v>
      </c>
      <c r="P57" s="205">
        <f>IF(P$47&lt;=KPI!$O$2,P35/$AK$26,"")</f>
        <v>0</v>
      </c>
      <c r="Q57" s="205">
        <f>IF(Q$47&lt;=KPI!$O$2,Q35/$AK$26,"")</f>
        <v>0</v>
      </c>
      <c r="R57" s="205">
        <f>IF(R$47&lt;=KPI!$O$2,R35/$AK$26,"")</f>
        <v>0</v>
      </c>
      <c r="S57" s="205">
        <f>IF(S$47&lt;=KPI!$O$2,S35/$AK$26,"")</f>
        <v>0</v>
      </c>
      <c r="T57" s="205">
        <f>IF(T$47&lt;=KPI!$O$2,T35/$AK$26,"")</f>
        <v>0</v>
      </c>
      <c r="U57" s="205">
        <f>IF(U$47&lt;=KPI!$O$2,U35/$AK$26,"")</f>
        <v>0</v>
      </c>
      <c r="V57" s="205">
        <f>IF(V$47&lt;=KPI!$O$2,V35/$AK$26,"")</f>
        <v>0</v>
      </c>
      <c r="W57" s="205">
        <f>IF(W$47&lt;=KPI!$O$2,W35/$AK$26,"")</f>
        <v>0</v>
      </c>
      <c r="X57" s="205">
        <f>IF(X$47&lt;=KPI!$O$2,X35/$AK$26,"")</f>
        <v>0</v>
      </c>
      <c r="Y57" s="205">
        <f>IF(Y$47&lt;=KPI!$O$2,Y35/$AK$26,"")</f>
        <v>1.9384834663534426E-3</v>
      </c>
      <c r="Z57" s="205" t="str">
        <f>IF(Z$47&lt;=KPI!$O$2,Z35/$AK$26,"")</f>
        <v/>
      </c>
      <c r="AA57" s="205" t="str">
        <f>IF(AA$47&lt;=KPI!$O$2,AA35/$AK$26,"")</f>
        <v/>
      </c>
      <c r="AB57" s="205" t="str">
        <f>IF(AB$47&lt;=KPI!$O$2,AB35/$AK$26,"")</f>
        <v/>
      </c>
      <c r="AC57" s="205" t="str">
        <f>IF(AC$47&lt;=KPI!$O$2,AC35/$AK$26,"")</f>
        <v/>
      </c>
      <c r="AD57" s="205" t="str">
        <f>IF(AD$47&lt;=KPI!$O$2,AD35/$AK$26,"")</f>
        <v/>
      </c>
      <c r="AE57" s="205" t="str">
        <f>IF(AE$47&lt;=KPI!$O$2,AE35/$AK$26,"")</f>
        <v/>
      </c>
      <c r="AF57" s="205" t="str">
        <f>IF(AF$47&lt;=KPI!$O$2,AF35/$AK$26,"")</f>
        <v/>
      </c>
      <c r="AG57" s="205" t="str">
        <f>IF(AG$47&lt;=KPI!$O$2,AG35/$AK$26,"")</f>
        <v/>
      </c>
      <c r="AH57" s="205" t="str">
        <f>IF(AH$47&lt;=KPI!$O$2,AH35/$AK$26,"")</f>
        <v/>
      </c>
      <c r="AI57" s="205" t="str">
        <f>IF(AI$47&lt;=KPI!$O$2,AI35/$AK$26,"")</f>
        <v/>
      </c>
      <c r="AJ57" s="205" t="str">
        <f>IF(AJ$47&lt;=KPI!$O$2,AJ35/$AK$26,"")</f>
        <v/>
      </c>
      <c r="AK57" s="205" t="str">
        <f>IF(AK$47&lt;=KPI!$O$2,AK35/$AK$26,"")</f>
        <v/>
      </c>
    </row>
    <row r="58" spans="1:37">
      <c r="A58" s="46" t="s">
        <v>220</v>
      </c>
      <c r="C58" s="46" t="s">
        <v>113</v>
      </c>
      <c r="D58" s="205">
        <f>IF(D$47&lt;=KPI!$O$2,D36/$AK$26,"")</f>
        <v>0</v>
      </c>
      <c r="E58" s="205">
        <f>IF(E$47&lt;=KPI!$O$2,E36/$AK$26,"")</f>
        <v>0</v>
      </c>
      <c r="F58" s="205">
        <f>IF(F$47&lt;=KPI!$O$2,F36/$AK$26,"")</f>
        <v>0</v>
      </c>
      <c r="G58" s="205">
        <f>IF(G$47&lt;=KPI!$O$2,G36/$AK$26,"")</f>
        <v>0</v>
      </c>
      <c r="H58" s="205">
        <f>IF(H$47&lt;=KPI!$O$2,H36/$AK$26,"")</f>
        <v>0</v>
      </c>
      <c r="I58" s="205">
        <f>IF(I$47&lt;=KPI!$O$2,I36/$AK$26,"")</f>
        <v>0</v>
      </c>
      <c r="J58" s="205">
        <f>IF(J$47&lt;=KPI!$O$2,J36/$AK$26,"")</f>
        <v>0</v>
      </c>
      <c r="K58" s="205">
        <f>IF(K$47&lt;=KPI!$O$2,K36/$AK$26,"")</f>
        <v>0</v>
      </c>
      <c r="L58" s="205">
        <f>IF(L$47&lt;=KPI!$O$2,L36/$AK$26,"")</f>
        <v>0</v>
      </c>
      <c r="M58" s="205">
        <f>IF(M$47&lt;=KPI!$O$2,M36/$AK$26,"")</f>
        <v>0</v>
      </c>
      <c r="N58" s="205">
        <f>IF(N$47&lt;=KPI!$O$2,N36/$AK$26,"")</f>
        <v>0</v>
      </c>
      <c r="O58" s="205">
        <f>IF(O$47&lt;=KPI!$O$2,O36/$AK$26,"")</f>
        <v>0</v>
      </c>
      <c r="P58" s="205">
        <f>IF(P$47&lt;=KPI!$O$2,P36/$AK$26,"")</f>
        <v>0</v>
      </c>
      <c r="Q58" s="205">
        <f>IF(Q$47&lt;=KPI!$O$2,Q36/$AK$26,"")</f>
        <v>0</v>
      </c>
      <c r="R58" s="205">
        <f>IF(R$47&lt;=KPI!$O$2,R36/$AK$26,"")</f>
        <v>0</v>
      </c>
      <c r="S58" s="205">
        <f>IF(S$47&lt;=KPI!$O$2,S36/$AK$26,"")</f>
        <v>0</v>
      </c>
      <c r="T58" s="205">
        <f>IF(T$47&lt;=KPI!$O$2,T36/$AK$26,"")</f>
        <v>0</v>
      </c>
      <c r="U58" s="205">
        <f>IF(U$47&lt;=KPI!$O$2,U36/$AK$26,"")</f>
        <v>0</v>
      </c>
      <c r="V58" s="205">
        <f>IF(V$47&lt;=KPI!$O$2,V36/$AK$26,"")</f>
        <v>0</v>
      </c>
      <c r="W58" s="205">
        <f>IF(W$47&lt;=KPI!$O$2,W36/$AK$26,"")</f>
        <v>0</v>
      </c>
      <c r="X58" s="205">
        <f>IF(X$47&lt;=KPI!$O$2,X36/$AK$26,"")</f>
        <v>0</v>
      </c>
      <c r="Y58" s="205">
        <f>IF(Y$47&lt;=KPI!$O$2,Y36/$AK$26,"")</f>
        <v>1.8463858261506864E-3</v>
      </c>
      <c r="Z58" s="205" t="str">
        <f>IF(Z$47&lt;=KPI!$O$2,Z36/$AK$26,"")</f>
        <v/>
      </c>
      <c r="AA58" s="205" t="str">
        <f>IF(AA$47&lt;=KPI!$O$2,AA36/$AK$26,"")</f>
        <v/>
      </c>
      <c r="AB58" s="205" t="str">
        <f>IF(AB$47&lt;=KPI!$O$2,AB36/$AK$26,"")</f>
        <v/>
      </c>
      <c r="AC58" s="205" t="str">
        <f>IF(AC$47&lt;=KPI!$O$2,AC36/$AK$26,"")</f>
        <v/>
      </c>
      <c r="AD58" s="205" t="str">
        <f>IF(AD$47&lt;=KPI!$O$2,AD36/$AK$26,"")</f>
        <v/>
      </c>
      <c r="AE58" s="205" t="str">
        <f>IF(AE$47&lt;=KPI!$O$2,AE36/$AK$26,"")</f>
        <v/>
      </c>
      <c r="AF58" s="205" t="str">
        <f>IF(AF$47&lt;=KPI!$O$2,AF36/$AK$26,"")</f>
        <v/>
      </c>
      <c r="AG58" s="205" t="str">
        <f>IF(AG$47&lt;=KPI!$O$2,AG36/$AK$26,"")</f>
        <v/>
      </c>
      <c r="AH58" s="205" t="str">
        <f>IF(AH$47&lt;=KPI!$O$2,AH36/$AK$26,"")</f>
        <v/>
      </c>
      <c r="AI58" s="205" t="str">
        <f>IF(AI$47&lt;=KPI!$O$2,AI36/$AK$26,"")</f>
        <v/>
      </c>
      <c r="AJ58" s="205" t="str">
        <f>IF(AJ$47&lt;=KPI!$O$2,AJ36/$AK$26,"")</f>
        <v/>
      </c>
      <c r="AK58" s="205" t="str">
        <f>IF(AK$47&lt;=KPI!$O$2,AK36/$AK$26,"")</f>
        <v/>
      </c>
    </row>
    <row r="59" spans="1:37">
      <c r="A59" s="46" t="s">
        <v>221</v>
      </c>
      <c r="C59" s="46" t="s">
        <v>114</v>
      </c>
      <c r="D59" s="205">
        <f>IF(D$47&lt;=KPI!$O$2,D37/$AK$26,"")</f>
        <v>0</v>
      </c>
      <c r="E59" s="205">
        <f>IF(E$47&lt;=KPI!$O$2,E37/$AK$26,"")</f>
        <v>0</v>
      </c>
      <c r="F59" s="205">
        <f>IF(F$47&lt;=KPI!$O$2,F37/$AK$26,"")</f>
        <v>0</v>
      </c>
      <c r="G59" s="205">
        <f>IF(G$47&lt;=KPI!$O$2,G37/$AK$26,"")</f>
        <v>0</v>
      </c>
      <c r="H59" s="205">
        <f>IF(H$47&lt;=KPI!$O$2,H37/$AK$26,"")</f>
        <v>0</v>
      </c>
      <c r="I59" s="205">
        <f>IF(I$47&lt;=KPI!$O$2,I37/$AK$26,"")</f>
        <v>0</v>
      </c>
      <c r="J59" s="205">
        <f>IF(J$47&lt;=KPI!$O$2,J37/$AK$26,"")</f>
        <v>0</v>
      </c>
      <c r="K59" s="205">
        <f>IF(K$47&lt;=KPI!$O$2,K37/$AK$26,"")</f>
        <v>0</v>
      </c>
      <c r="L59" s="205">
        <f>IF(L$47&lt;=KPI!$O$2,L37/$AK$26,"")</f>
        <v>0</v>
      </c>
      <c r="M59" s="205">
        <f>IF(M$47&lt;=KPI!$O$2,M37/$AK$26,"")</f>
        <v>0</v>
      </c>
      <c r="N59" s="205">
        <f>IF(N$47&lt;=KPI!$O$2,N37/$AK$26,"")</f>
        <v>0</v>
      </c>
      <c r="O59" s="205">
        <f>IF(O$47&lt;=KPI!$O$2,O37/$AK$26,"")</f>
        <v>0</v>
      </c>
      <c r="P59" s="205">
        <f>IF(P$47&lt;=KPI!$O$2,P37/$AK$26,"")</f>
        <v>0</v>
      </c>
      <c r="Q59" s="205">
        <f>IF(Q$47&lt;=KPI!$O$2,Q37/$AK$26,"")</f>
        <v>0</v>
      </c>
      <c r="R59" s="205">
        <f>IF(R$47&lt;=KPI!$O$2,R37/$AK$26,"")</f>
        <v>0</v>
      </c>
      <c r="S59" s="205">
        <f>IF(S$47&lt;=KPI!$O$2,S37/$AK$26,"")</f>
        <v>0</v>
      </c>
      <c r="T59" s="205">
        <f>IF(T$47&lt;=KPI!$O$2,T37/$AK$26,"")</f>
        <v>0</v>
      </c>
      <c r="U59" s="205">
        <f>IF(U$47&lt;=KPI!$O$2,U37/$AK$26,"")</f>
        <v>0</v>
      </c>
      <c r="V59" s="205">
        <f>IF(V$47&lt;=KPI!$O$2,V37/$AK$26,"")</f>
        <v>0</v>
      </c>
      <c r="W59" s="205">
        <f>IF(W$47&lt;=KPI!$O$2,W37/$AK$26,"")</f>
        <v>0</v>
      </c>
      <c r="X59" s="205">
        <f>IF(X$47&lt;=KPI!$O$2,X37/$AK$26,"")</f>
        <v>0</v>
      </c>
      <c r="Y59" s="205">
        <f>IF(Y$47&lt;=KPI!$O$2,Y37/$AK$26,"")</f>
        <v>2.6451971337621053E-3</v>
      </c>
      <c r="Z59" s="205" t="str">
        <f>IF(Z$47&lt;=KPI!$O$2,Z37/$AK$26,"")</f>
        <v/>
      </c>
      <c r="AA59" s="205" t="str">
        <f>IF(AA$47&lt;=KPI!$O$2,AA37/$AK$26,"")</f>
        <v/>
      </c>
      <c r="AB59" s="205" t="str">
        <f>IF(AB$47&lt;=KPI!$O$2,AB37/$AK$26,"")</f>
        <v/>
      </c>
      <c r="AC59" s="205" t="str">
        <f>IF(AC$47&lt;=KPI!$O$2,AC37/$AK$26,"")</f>
        <v/>
      </c>
      <c r="AD59" s="205" t="str">
        <f>IF(AD$47&lt;=KPI!$O$2,AD37/$AK$26,"")</f>
        <v/>
      </c>
      <c r="AE59" s="205" t="str">
        <f>IF(AE$47&lt;=KPI!$O$2,AE37/$AK$26,"")</f>
        <v/>
      </c>
      <c r="AF59" s="205" t="str">
        <f>IF(AF$47&lt;=KPI!$O$2,AF37/$AK$26,"")</f>
        <v/>
      </c>
      <c r="AG59" s="205" t="str">
        <f>IF(AG$47&lt;=KPI!$O$2,AG37/$AK$26,"")</f>
        <v/>
      </c>
      <c r="AH59" s="205" t="str">
        <f>IF(AH$47&lt;=KPI!$O$2,AH37/$AK$26,"")</f>
        <v/>
      </c>
      <c r="AI59" s="205" t="str">
        <f>IF(AI$47&lt;=KPI!$O$2,AI37/$AK$26,"")</f>
        <v/>
      </c>
      <c r="AJ59" s="205" t="str">
        <f>IF(AJ$47&lt;=KPI!$O$2,AJ37/$AK$26,"")</f>
        <v/>
      </c>
      <c r="AK59" s="205" t="str">
        <f>IF(AK$47&lt;=KPI!$O$2,AK37/$AK$26,"")</f>
        <v/>
      </c>
    </row>
    <row r="60" spans="1:37">
      <c r="A60" s="46" t="s">
        <v>222</v>
      </c>
      <c r="C60" s="46" t="s">
        <v>115</v>
      </c>
      <c r="D60" s="205">
        <f>IF(D$47&lt;=KPI!$O$2,D38/$AK$26,"")</f>
        <v>0</v>
      </c>
      <c r="E60" s="205">
        <f>IF(E$47&lt;=KPI!$O$2,E38/$AK$26,"")</f>
        <v>0</v>
      </c>
      <c r="F60" s="205">
        <f>IF(F$47&lt;=KPI!$O$2,F38/$AK$26,"")</f>
        <v>0</v>
      </c>
      <c r="G60" s="205">
        <f>IF(G$47&lt;=KPI!$O$2,G38/$AK$26,"")</f>
        <v>0</v>
      </c>
      <c r="H60" s="205">
        <f>IF(H$47&lt;=KPI!$O$2,H38/$AK$26,"")</f>
        <v>0</v>
      </c>
      <c r="I60" s="205">
        <f>IF(I$47&lt;=KPI!$O$2,I38/$AK$26,"")</f>
        <v>0</v>
      </c>
      <c r="J60" s="205">
        <f>IF(J$47&lt;=KPI!$O$2,J38/$AK$26,"")</f>
        <v>0</v>
      </c>
      <c r="K60" s="205">
        <f>IF(K$47&lt;=KPI!$O$2,K38/$AK$26,"")</f>
        <v>0</v>
      </c>
      <c r="L60" s="205">
        <f>IF(L$47&lt;=KPI!$O$2,L38/$AK$26,"")</f>
        <v>0</v>
      </c>
      <c r="M60" s="205">
        <f>IF(M$47&lt;=KPI!$O$2,M38/$AK$26,"")</f>
        <v>0</v>
      </c>
      <c r="N60" s="205">
        <f>IF(N$47&lt;=KPI!$O$2,N38/$AK$26,"")</f>
        <v>0</v>
      </c>
      <c r="O60" s="205">
        <f>IF(O$47&lt;=KPI!$O$2,O38/$AK$26,"")</f>
        <v>0</v>
      </c>
      <c r="P60" s="205">
        <f>IF(P$47&lt;=KPI!$O$2,P38/$AK$26,"")</f>
        <v>0</v>
      </c>
      <c r="Q60" s="205">
        <f>IF(Q$47&lt;=KPI!$O$2,Q38/$AK$26,"")</f>
        <v>0</v>
      </c>
      <c r="R60" s="205">
        <f>IF(R$47&lt;=KPI!$O$2,R38/$AK$26,"")</f>
        <v>0</v>
      </c>
      <c r="S60" s="205">
        <f>IF(S$47&lt;=KPI!$O$2,S38/$AK$26,"")</f>
        <v>0</v>
      </c>
      <c r="T60" s="205">
        <f>IF(T$47&lt;=KPI!$O$2,T38/$AK$26,"")</f>
        <v>0</v>
      </c>
      <c r="U60" s="205">
        <f>IF(U$47&lt;=KPI!$O$2,U38/$AK$26,"")</f>
        <v>0</v>
      </c>
      <c r="V60" s="205">
        <f>IF(V$47&lt;=KPI!$O$2,V38/$AK$26,"")</f>
        <v>0</v>
      </c>
      <c r="W60" s="205">
        <f>IF(W$47&lt;=KPI!$O$2,W38/$AK$26,"")</f>
        <v>0</v>
      </c>
      <c r="X60" s="205">
        <f>IF(X$47&lt;=KPI!$O$2,X38/$AK$26,"")</f>
        <v>0</v>
      </c>
      <c r="Y60" s="205">
        <f>IF(Y$47&lt;=KPI!$O$2,Y38/$AK$26,"")</f>
        <v>2.6451971337621053E-3</v>
      </c>
      <c r="Z60" s="205" t="str">
        <f>IF(Z$47&lt;=KPI!$O$2,Z38/$AK$26,"")</f>
        <v/>
      </c>
      <c r="AA60" s="205" t="str">
        <f>IF(AA$47&lt;=KPI!$O$2,AA38/$AK$26,"")</f>
        <v/>
      </c>
      <c r="AB60" s="205" t="str">
        <f>IF(AB$47&lt;=KPI!$O$2,AB38/$AK$26,"")</f>
        <v/>
      </c>
      <c r="AC60" s="205" t="str">
        <f>IF(AC$47&lt;=KPI!$O$2,AC38/$AK$26,"")</f>
        <v/>
      </c>
      <c r="AD60" s="205" t="str">
        <f>IF(AD$47&lt;=KPI!$O$2,AD38/$AK$26,"")</f>
        <v/>
      </c>
      <c r="AE60" s="205" t="str">
        <f>IF(AE$47&lt;=KPI!$O$2,AE38/$AK$26,"")</f>
        <v/>
      </c>
      <c r="AF60" s="205" t="str">
        <f>IF(AF$47&lt;=KPI!$O$2,AF38/$AK$26,"")</f>
        <v/>
      </c>
      <c r="AG60" s="205" t="str">
        <f>IF(AG$47&lt;=KPI!$O$2,AG38/$AK$26,"")</f>
        <v/>
      </c>
      <c r="AH60" s="205" t="str">
        <f>IF(AH$47&lt;=KPI!$O$2,AH38/$AK$26,"")</f>
        <v/>
      </c>
      <c r="AI60" s="205" t="str">
        <f>IF(AI$47&lt;=KPI!$O$2,AI38/$AK$26,"")</f>
        <v/>
      </c>
      <c r="AJ60" s="205" t="str">
        <f>IF(AJ$47&lt;=KPI!$O$2,AJ38/$AK$26,"")</f>
        <v/>
      </c>
      <c r="AK60" s="205" t="str">
        <f>IF(AK$47&lt;=KPI!$O$2,AK38/$AK$26,"")</f>
        <v/>
      </c>
    </row>
    <row r="61" spans="1:37">
      <c r="A61" s="46" t="s">
        <v>223</v>
      </c>
      <c r="C61" s="46" t="s">
        <v>117</v>
      </c>
      <c r="D61" s="205">
        <f>IF(D$47&lt;=KPI!$O$2,D39/$AK$26,"")</f>
        <v>0</v>
      </c>
      <c r="E61" s="205">
        <f>IF(E$47&lt;=KPI!$O$2,E39/$AK$26,"")</f>
        <v>0</v>
      </c>
      <c r="F61" s="205">
        <f>IF(F$47&lt;=KPI!$O$2,F39/$AK$26,"")</f>
        <v>0</v>
      </c>
      <c r="G61" s="205">
        <f>IF(G$47&lt;=KPI!$O$2,G39/$AK$26,"")</f>
        <v>0</v>
      </c>
      <c r="H61" s="205">
        <f>IF(H$47&lt;=KPI!$O$2,H39/$AK$26,"")</f>
        <v>0</v>
      </c>
      <c r="I61" s="205">
        <f>IF(I$47&lt;=KPI!$O$2,I39/$AK$26,"")</f>
        <v>0</v>
      </c>
      <c r="J61" s="205">
        <f>IF(J$47&lt;=KPI!$O$2,J39/$AK$26,"")</f>
        <v>0</v>
      </c>
      <c r="K61" s="205">
        <f>IF(K$47&lt;=KPI!$O$2,K39/$AK$26,"")</f>
        <v>0</v>
      </c>
      <c r="L61" s="205">
        <f>IF(L$47&lt;=KPI!$O$2,L39/$AK$26,"")</f>
        <v>0</v>
      </c>
      <c r="M61" s="205">
        <f>IF(M$47&lt;=KPI!$O$2,M39/$AK$26,"")</f>
        <v>0</v>
      </c>
      <c r="N61" s="205">
        <f>IF(N$47&lt;=KPI!$O$2,N39/$AK$26,"")</f>
        <v>0</v>
      </c>
      <c r="O61" s="205">
        <f>IF(O$47&lt;=KPI!$O$2,O39/$AK$26,"")</f>
        <v>0</v>
      </c>
      <c r="P61" s="205">
        <f>IF(P$47&lt;=KPI!$O$2,P39/$AK$26,"")</f>
        <v>0</v>
      </c>
      <c r="Q61" s="205">
        <f>IF(Q$47&lt;=KPI!$O$2,Q39/$AK$26,"")</f>
        <v>0</v>
      </c>
      <c r="R61" s="205">
        <f>IF(R$47&lt;=KPI!$O$2,R39/$AK$26,"")</f>
        <v>0</v>
      </c>
      <c r="S61" s="205">
        <f>IF(S$47&lt;=KPI!$O$2,S39/$AK$26,"")</f>
        <v>0</v>
      </c>
      <c r="T61" s="205">
        <f>IF(T$47&lt;=KPI!$O$2,T39/$AK$26,"")</f>
        <v>0</v>
      </c>
      <c r="U61" s="205">
        <f>IF(U$47&lt;=KPI!$O$2,U39/$AK$26,"")</f>
        <v>0</v>
      </c>
      <c r="V61" s="205">
        <f>IF(V$47&lt;=KPI!$O$2,V39/$AK$26,"")</f>
        <v>0</v>
      </c>
      <c r="W61" s="205">
        <f>IF(W$47&lt;=KPI!$O$2,W39/$AK$26,"")</f>
        <v>0</v>
      </c>
      <c r="X61" s="205">
        <f>IF(X$47&lt;=KPI!$O$2,X39/$AK$26,"")</f>
        <v>0</v>
      </c>
      <c r="Y61" s="205">
        <f>IF(Y$47&lt;=KPI!$O$2,Y39/$AK$26,"")</f>
        <v>2.6451971337621053E-3</v>
      </c>
      <c r="Z61" s="205" t="str">
        <f>IF(Z$47&lt;=KPI!$O$2,Z39/$AK$26,"")</f>
        <v/>
      </c>
      <c r="AA61" s="205" t="str">
        <f>IF(AA$47&lt;=KPI!$O$2,AA39/$AK$26,"")</f>
        <v/>
      </c>
      <c r="AB61" s="205" t="str">
        <f>IF(AB$47&lt;=KPI!$O$2,AB39/$AK$26,"")</f>
        <v/>
      </c>
      <c r="AC61" s="205" t="str">
        <f>IF(AC$47&lt;=KPI!$O$2,AC39/$AK$26,"")</f>
        <v/>
      </c>
      <c r="AD61" s="205" t="str">
        <f>IF(AD$47&lt;=KPI!$O$2,AD39/$AK$26,"")</f>
        <v/>
      </c>
      <c r="AE61" s="205" t="str">
        <f>IF(AE$47&lt;=KPI!$O$2,AE39/$AK$26,"")</f>
        <v/>
      </c>
      <c r="AF61" s="205" t="str">
        <f>IF(AF$47&lt;=KPI!$O$2,AF39/$AK$26,"")</f>
        <v/>
      </c>
      <c r="AG61" s="205" t="str">
        <f>IF(AG$47&lt;=KPI!$O$2,AG39/$AK$26,"")</f>
        <v/>
      </c>
      <c r="AH61" s="205" t="str">
        <f>IF(AH$47&lt;=KPI!$O$2,AH39/$AK$26,"")</f>
        <v/>
      </c>
      <c r="AI61" s="205" t="str">
        <f>IF(AI$47&lt;=KPI!$O$2,AI39/$AK$26,"")</f>
        <v/>
      </c>
      <c r="AJ61" s="205" t="str">
        <f>IF(AJ$47&lt;=KPI!$O$2,AJ39/$AK$26,"")</f>
        <v/>
      </c>
      <c r="AK61" s="205" t="str">
        <f>IF(AK$47&lt;=KPI!$O$2,AK39/$AK$26,"")</f>
        <v/>
      </c>
    </row>
    <row r="62" spans="1:37">
      <c r="A62" s="46" t="s">
        <v>224</v>
      </c>
      <c r="C62" s="46" t="s">
        <v>116</v>
      </c>
      <c r="D62" s="205">
        <f>IF(D$47&lt;=KPI!$O$2,D40/$AK$26,"")</f>
        <v>0</v>
      </c>
      <c r="E62" s="205">
        <f>IF(E$47&lt;=KPI!$O$2,E40/$AK$26,"")</f>
        <v>0</v>
      </c>
      <c r="F62" s="205">
        <f>IF(F$47&lt;=KPI!$O$2,F40/$AK$26,"")</f>
        <v>0</v>
      </c>
      <c r="G62" s="205">
        <f>IF(G$47&lt;=KPI!$O$2,G40/$AK$26,"")</f>
        <v>0</v>
      </c>
      <c r="H62" s="205">
        <f>IF(H$47&lt;=KPI!$O$2,H40/$AK$26,"")</f>
        <v>0</v>
      </c>
      <c r="I62" s="205">
        <f>IF(I$47&lt;=KPI!$O$2,I40/$AK$26,"")</f>
        <v>0</v>
      </c>
      <c r="J62" s="205">
        <f>IF(J$47&lt;=KPI!$O$2,J40/$AK$26,"")</f>
        <v>0</v>
      </c>
      <c r="K62" s="205">
        <f>IF(K$47&lt;=KPI!$O$2,K40/$AK$26,"")</f>
        <v>0</v>
      </c>
      <c r="L62" s="205">
        <f>IF(L$47&lt;=KPI!$O$2,L40/$AK$26,"")</f>
        <v>0</v>
      </c>
      <c r="M62" s="205">
        <f>IF(M$47&lt;=KPI!$O$2,M40/$AK$26,"")</f>
        <v>0</v>
      </c>
      <c r="N62" s="205">
        <f>IF(N$47&lt;=KPI!$O$2,N40/$AK$26,"")</f>
        <v>0</v>
      </c>
      <c r="O62" s="205">
        <f>IF(O$47&lt;=KPI!$O$2,O40/$AK$26,"")</f>
        <v>0</v>
      </c>
      <c r="P62" s="205">
        <f>IF(P$47&lt;=KPI!$O$2,P40/$AK$26,"")</f>
        <v>0</v>
      </c>
      <c r="Q62" s="205">
        <f>IF(Q$47&lt;=KPI!$O$2,Q40/$AK$26,"")</f>
        <v>0</v>
      </c>
      <c r="R62" s="205">
        <f>IF(R$47&lt;=KPI!$O$2,R40/$AK$26,"")</f>
        <v>0</v>
      </c>
      <c r="S62" s="205">
        <f>IF(S$47&lt;=KPI!$O$2,S40/$AK$26,"")</f>
        <v>0</v>
      </c>
      <c r="T62" s="205">
        <f>IF(T$47&lt;=KPI!$O$2,T40/$AK$26,"")</f>
        <v>0</v>
      </c>
      <c r="U62" s="205">
        <f>IF(U$47&lt;=KPI!$O$2,U40/$AK$26,"")</f>
        <v>0</v>
      </c>
      <c r="V62" s="205">
        <f>IF(V$47&lt;=KPI!$O$2,V40/$AK$26,"")</f>
        <v>0</v>
      </c>
      <c r="W62" s="205">
        <f>IF(W$47&lt;=KPI!$O$2,W40/$AK$26,"")</f>
        <v>0</v>
      </c>
      <c r="X62" s="205">
        <f>IF(X$47&lt;=KPI!$O$2,X40/$AK$26,"")</f>
        <v>0</v>
      </c>
      <c r="Y62" s="205">
        <f>IF(Y$47&lt;=KPI!$O$2,Y40/$AK$26,"")</f>
        <v>2.6451971337621053E-3</v>
      </c>
      <c r="Z62" s="205" t="str">
        <f>IF(Z$47&lt;=KPI!$O$2,Z40/$AK$26,"")</f>
        <v/>
      </c>
      <c r="AA62" s="205" t="str">
        <f>IF(AA$47&lt;=KPI!$O$2,AA40/$AK$26,"")</f>
        <v/>
      </c>
      <c r="AB62" s="205" t="str">
        <f>IF(AB$47&lt;=KPI!$O$2,AB40/$AK$26,"")</f>
        <v/>
      </c>
      <c r="AC62" s="205" t="str">
        <f>IF(AC$47&lt;=KPI!$O$2,AC40/$AK$26,"")</f>
        <v/>
      </c>
      <c r="AD62" s="205" t="str">
        <f>IF(AD$47&lt;=KPI!$O$2,AD40/$AK$26,"")</f>
        <v/>
      </c>
      <c r="AE62" s="205" t="str">
        <f>IF(AE$47&lt;=KPI!$O$2,AE40/$AK$26,"")</f>
        <v/>
      </c>
      <c r="AF62" s="205" t="str">
        <f>IF(AF$47&lt;=KPI!$O$2,AF40/$AK$26,"")</f>
        <v/>
      </c>
      <c r="AG62" s="205" t="str">
        <f>IF(AG$47&lt;=KPI!$O$2,AG40/$AK$26,"")</f>
        <v/>
      </c>
      <c r="AH62" s="205" t="str">
        <f>IF(AH$47&lt;=KPI!$O$2,AH40/$AK$26,"")</f>
        <v/>
      </c>
      <c r="AI62" s="205" t="str">
        <f>IF(AI$47&lt;=KPI!$O$2,AI40/$AK$26,"")</f>
        <v/>
      </c>
      <c r="AJ62" s="205" t="str">
        <f>IF(AJ$47&lt;=KPI!$O$2,AJ40/$AK$26,"")</f>
        <v/>
      </c>
      <c r="AK62" s="205" t="str">
        <f>IF(AK$47&lt;=KPI!$O$2,AK40/$AK$26,"")</f>
        <v/>
      </c>
    </row>
    <row r="63" spans="1:37">
      <c r="A63" s="46" t="s">
        <v>225</v>
      </c>
      <c r="C63" s="46" t="s">
        <v>198</v>
      </c>
      <c r="D63" s="205">
        <f>IF(D$47&lt;=KPI!$O$2,D41/$AK$26,"")</f>
        <v>0</v>
      </c>
      <c r="E63" s="205">
        <f>IF(E$47&lt;=KPI!$O$2,E41/$AK$26,"")</f>
        <v>0</v>
      </c>
      <c r="F63" s="205">
        <f>IF(F$47&lt;=KPI!$O$2,F41/$AK$26,"")</f>
        <v>0</v>
      </c>
      <c r="G63" s="205">
        <f>IF(G$47&lt;=KPI!$O$2,G41/$AK$26,"")</f>
        <v>0</v>
      </c>
      <c r="H63" s="205">
        <f>IF(H$47&lt;=KPI!$O$2,H41/$AK$26,"")</f>
        <v>0</v>
      </c>
      <c r="I63" s="205">
        <f>IF(I$47&lt;=KPI!$O$2,I41/$AK$26,"")</f>
        <v>0</v>
      </c>
      <c r="J63" s="205">
        <f>IF(J$47&lt;=KPI!$O$2,J41/$AK$26,"")</f>
        <v>0</v>
      </c>
      <c r="K63" s="205">
        <f>IF(K$47&lt;=KPI!$O$2,K41/$AK$26,"")</f>
        <v>0</v>
      </c>
      <c r="L63" s="205">
        <f>IF(L$47&lt;=KPI!$O$2,L41/$AK$26,"")</f>
        <v>0</v>
      </c>
      <c r="M63" s="205">
        <f>IF(M$47&lt;=KPI!$O$2,M41/$AK$26,"")</f>
        <v>0</v>
      </c>
      <c r="N63" s="205">
        <f>IF(N$47&lt;=KPI!$O$2,N41/$AK$26,"")</f>
        <v>0</v>
      </c>
      <c r="O63" s="205">
        <f>IF(O$47&lt;=KPI!$O$2,O41/$AK$26,"")</f>
        <v>0</v>
      </c>
      <c r="P63" s="205">
        <f>IF(P$47&lt;=KPI!$O$2,P41/$AK$26,"")</f>
        <v>0</v>
      </c>
      <c r="Q63" s="205">
        <f>IF(Q$47&lt;=KPI!$O$2,Q41/$AK$26,"")</f>
        <v>0</v>
      </c>
      <c r="R63" s="205">
        <f>IF(R$47&lt;=KPI!$O$2,R41/$AK$26,"")</f>
        <v>0</v>
      </c>
      <c r="S63" s="205">
        <f>IF(S$47&lt;=KPI!$O$2,S41/$AK$26,"")</f>
        <v>0</v>
      </c>
      <c r="T63" s="205">
        <f>IF(T$47&lt;=KPI!$O$2,T41/$AK$26,"")</f>
        <v>0</v>
      </c>
      <c r="U63" s="205">
        <f>IF(U$47&lt;=KPI!$O$2,U41/$AK$26,"")</f>
        <v>0</v>
      </c>
      <c r="V63" s="205">
        <f>IF(V$47&lt;=KPI!$O$2,V41/$AK$26,"")</f>
        <v>0</v>
      </c>
      <c r="W63" s="205">
        <f>IF(W$47&lt;=KPI!$O$2,W41/$AK$26,"")</f>
        <v>0</v>
      </c>
      <c r="X63" s="205">
        <f>IF(X$47&lt;=KPI!$O$2,X41/$AK$26,"")</f>
        <v>0</v>
      </c>
      <c r="Y63" s="205">
        <f>IF(Y$47&lt;=KPI!$O$2,Y41/$AK$26,"")</f>
        <v>0</v>
      </c>
      <c r="Z63" s="205" t="str">
        <f>IF(Z$47&lt;=KPI!$O$2,Z41/$AK$26,"")</f>
        <v/>
      </c>
      <c r="AA63" s="205" t="str">
        <f>IF(AA$47&lt;=KPI!$O$2,AA41/$AK$26,"")</f>
        <v/>
      </c>
      <c r="AB63" s="205" t="str">
        <f>IF(AB$47&lt;=KPI!$O$2,AB41/$AK$26,"")</f>
        <v/>
      </c>
      <c r="AC63" s="205" t="str">
        <f>IF(AC$47&lt;=KPI!$O$2,AC41/$AK$26,"")</f>
        <v/>
      </c>
      <c r="AD63" s="205" t="str">
        <f>IF(AD$47&lt;=KPI!$O$2,AD41/$AK$26,"")</f>
        <v/>
      </c>
      <c r="AE63" s="205" t="str">
        <f>IF(AE$47&lt;=KPI!$O$2,AE41/$AK$26,"")</f>
        <v/>
      </c>
      <c r="AF63" s="205" t="str">
        <f>IF(AF$47&lt;=KPI!$O$2,AF41/$AK$26,"")</f>
        <v/>
      </c>
      <c r="AG63" s="205" t="str">
        <f>IF(AG$47&lt;=KPI!$O$2,AG41/$AK$26,"")</f>
        <v/>
      </c>
      <c r="AH63" s="205" t="str">
        <f>IF(AH$47&lt;=KPI!$O$2,AH41/$AK$26,"")</f>
        <v/>
      </c>
      <c r="AI63" s="205" t="str">
        <f>IF(AI$47&lt;=KPI!$O$2,AI41/$AK$26,"")</f>
        <v/>
      </c>
      <c r="AJ63" s="205" t="str">
        <f>IF(AJ$47&lt;=KPI!$O$2,AJ41/$AK$26,"")</f>
        <v/>
      </c>
      <c r="AK63" s="205" t="str">
        <f>IF(AK$47&lt;=KPI!$O$2,AK41/$AK$26,"")</f>
        <v/>
      </c>
    </row>
    <row r="64" spans="1:37">
      <c r="A64" s="46" t="s">
        <v>226</v>
      </c>
      <c r="C64" s="46" t="s">
        <v>118</v>
      </c>
      <c r="D64" s="205">
        <f>IF(D$47&lt;=KPI!$O$2,D42/$AK$26,"")</f>
        <v>0</v>
      </c>
      <c r="E64" s="205">
        <f>IF(E$47&lt;=KPI!$O$2,E42/$AK$26,"")</f>
        <v>0</v>
      </c>
      <c r="F64" s="205">
        <f>IF(F$47&lt;=KPI!$O$2,F42/$AK$26,"")</f>
        <v>0</v>
      </c>
      <c r="G64" s="205">
        <f>IF(G$47&lt;=KPI!$O$2,G42/$AK$26,"")</f>
        <v>0</v>
      </c>
      <c r="H64" s="205">
        <f>IF(H$47&lt;=KPI!$O$2,H42/$AK$26,"")</f>
        <v>0</v>
      </c>
      <c r="I64" s="205">
        <f>IF(I$47&lt;=KPI!$O$2,I42/$AK$26,"")</f>
        <v>0</v>
      </c>
      <c r="J64" s="205">
        <f>IF(J$47&lt;=KPI!$O$2,J42/$AK$26,"")</f>
        <v>0</v>
      </c>
      <c r="K64" s="205">
        <f>IF(K$47&lt;=KPI!$O$2,K42/$AK$26,"")</f>
        <v>0</v>
      </c>
      <c r="L64" s="205">
        <f>IF(L$47&lt;=KPI!$O$2,L42/$AK$26,"")</f>
        <v>0</v>
      </c>
      <c r="M64" s="205">
        <f>IF(M$47&lt;=KPI!$O$2,M42/$AK$26,"")</f>
        <v>0</v>
      </c>
      <c r="N64" s="205">
        <f>IF(N$47&lt;=KPI!$O$2,N42/$AK$26,"")</f>
        <v>0</v>
      </c>
      <c r="O64" s="205">
        <f>IF(O$47&lt;=KPI!$O$2,O42/$AK$26,"")</f>
        <v>0</v>
      </c>
      <c r="P64" s="205">
        <f>IF(P$47&lt;=KPI!$O$2,P42/$AK$26,"")</f>
        <v>0</v>
      </c>
      <c r="Q64" s="205">
        <f>IF(Q$47&lt;=KPI!$O$2,Q42/$AK$26,"")</f>
        <v>0</v>
      </c>
      <c r="R64" s="205">
        <f>IF(R$47&lt;=KPI!$O$2,R42/$AK$26,"")</f>
        <v>0</v>
      </c>
      <c r="S64" s="205">
        <f>IF(S$47&lt;=KPI!$O$2,S42/$AK$26,"")</f>
        <v>0</v>
      </c>
      <c r="T64" s="205">
        <f>IF(T$47&lt;=KPI!$O$2,T42/$AK$26,"")</f>
        <v>0</v>
      </c>
      <c r="U64" s="205">
        <f>IF(U$47&lt;=KPI!$O$2,U42/$AK$26,"")</f>
        <v>0</v>
      </c>
      <c r="V64" s="205">
        <f>IF(V$47&lt;=KPI!$O$2,V42/$AK$26,"")</f>
        <v>0</v>
      </c>
      <c r="W64" s="205">
        <f>IF(W$47&lt;=KPI!$O$2,W42/$AK$26,"")</f>
        <v>0</v>
      </c>
      <c r="X64" s="205">
        <f>IF(X$47&lt;=KPI!$O$2,X42/$AK$26,"")</f>
        <v>0</v>
      </c>
      <c r="Y64" s="205">
        <f>IF(Y$47&lt;=KPI!$O$2,Y42/$AK$26,"")</f>
        <v>0</v>
      </c>
      <c r="Z64" s="205" t="str">
        <f>IF(Z$47&lt;=KPI!$O$2,Z42/$AK$26,"")</f>
        <v/>
      </c>
      <c r="AA64" s="205" t="str">
        <f>IF(AA$47&lt;=KPI!$O$2,AA42/$AK$26,"")</f>
        <v/>
      </c>
      <c r="AB64" s="205" t="str">
        <f>IF(AB$47&lt;=KPI!$O$2,AB42/$AK$26,"")</f>
        <v/>
      </c>
      <c r="AC64" s="205" t="str">
        <f>IF(AC$47&lt;=KPI!$O$2,AC42/$AK$26,"")</f>
        <v/>
      </c>
      <c r="AD64" s="205" t="str">
        <f>IF(AD$47&lt;=KPI!$O$2,AD42/$AK$26,"")</f>
        <v/>
      </c>
      <c r="AE64" s="205" t="str">
        <f>IF(AE$47&lt;=KPI!$O$2,AE42/$AK$26,"")</f>
        <v/>
      </c>
      <c r="AF64" s="205" t="str">
        <f>IF(AF$47&lt;=KPI!$O$2,AF42/$AK$26,"")</f>
        <v/>
      </c>
      <c r="AG64" s="205" t="str">
        <f>IF(AG$47&lt;=KPI!$O$2,AG42/$AK$26,"")</f>
        <v/>
      </c>
      <c r="AH64" s="205" t="str">
        <f>IF(AH$47&lt;=KPI!$O$2,AH42/$AK$26,"")</f>
        <v/>
      </c>
      <c r="AI64" s="205" t="str">
        <f>IF(AI$47&lt;=KPI!$O$2,AI42/$AK$26,"")</f>
        <v/>
      </c>
      <c r="AJ64" s="205" t="str">
        <f>IF(AJ$47&lt;=KPI!$O$2,AJ42/$AK$26,"")</f>
        <v/>
      </c>
      <c r="AK64" s="205" t="str">
        <f>IF(AK$47&lt;=KPI!$O$2,AK42/$AK$26,"")</f>
        <v/>
      </c>
    </row>
    <row r="65" spans="1:37">
      <c r="A65" s="46" t="s">
        <v>227</v>
      </c>
      <c r="C65" s="46" t="s">
        <v>194</v>
      </c>
      <c r="D65" s="205">
        <f>IF(D$47&lt;=KPI!$O$2,D43/$AK$26,"")</f>
        <v>0</v>
      </c>
      <c r="E65" s="205">
        <f>IF(E$47&lt;=KPI!$O$2,E43/$AK$26,"")</f>
        <v>0</v>
      </c>
      <c r="F65" s="205">
        <f>IF(F$47&lt;=KPI!$O$2,F43/$AK$26,"")</f>
        <v>0</v>
      </c>
      <c r="G65" s="205">
        <f>IF(G$47&lt;=KPI!$O$2,G43/$AK$26,"")</f>
        <v>0</v>
      </c>
      <c r="H65" s="205">
        <f>IF(H$47&lt;=KPI!$O$2,H43/$AK$26,"")</f>
        <v>0</v>
      </c>
      <c r="I65" s="205">
        <f>IF(I$47&lt;=KPI!$O$2,I43/$AK$26,"")</f>
        <v>0</v>
      </c>
      <c r="J65" s="205">
        <f>IF(J$47&lt;=KPI!$O$2,J43/$AK$26,"")</f>
        <v>0</v>
      </c>
      <c r="K65" s="205">
        <f>IF(K$47&lt;=KPI!$O$2,K43/$AK$26,"")</f>
        <v>0</v>
      </c>
      <c r="L65" s="205">
        <f>IF(L$47&lt;=KPI!$O$2,L43/$AK$26,"")</f>
        <v>0</v>
      </c>
      <c r="M65" s="205">
        <f>IF(M$47&lt;=KPI!$O$2,M43/$AK$26,"")</f>
        <v>0</v>
      </c>
      <c r="N65" s="205">
        <f>IF(N$47&lt;=KPI!$O$2,N43/$AK$26,"")</f>
        <v>0</v>
      </c>
      <c r="O65" s="205">
        <f>IF(O$47&lt;=KPI!$O$2,O43/$AK$26,"")</f>
        <v>0</v>
      </c>
      <c r="P65" s="205">
        <f>IF(P$47&lt;=KPI!$O$2,P43/$AK$26,"")</f>
        <v>0</v>
      </c>
      <c r="Q65" s="205">
        <f>IF(Q$47&lt;=KPI!$O$2,Q43/$AK$26,"")</f>
        <v>0</v>
      </c>
      <c r="R65" s="205">
        <f>IF(R$47&lt;=KPI!$O$2,R43/$AK$26,"")</f>
        <v>0</v>
      </c>
      <c r="S65" s="205">
        <f>IF(S$47&lt;=KPI!$O$2,S43/$AK$26,"")</f>
        <v>0</v>
      </c>
      <c r="T65" s="205">
        <f>IF(T$47&lt;=KPI!$O$2,T43/$AK$26,"")</f>
        <v>0</v>
      </c>
      <c r="U65" s="205">
        <f>IF(U$47&lt;=KPI!$O$2,U43/$AK$26,"")</f>
        <v>0</v>
      </c>
      <c r="V65" s="205">
        <f>IF(V$47&lt;=KPI!$O$2,V43/$AK$26,"")</f>
        <v>0</v>
      </c>
      <c r="W65" s="205">
        <f>IF(W$47&lt;=KPI!$O$2,W43/$AK$26,"")</f>
        <v>0</v>
      </c>
      <c r="X65" s="205">
        <f>IF(X$47&lt;=KPI!$O$2,X43/$AK$26,"")</f>
        <v>0</v>
      </c>
      <c r="Y65" s="205">
        <f>IF(Y$47&lt;=KPI!$O$2,Y43/$AK$26,"")</f>
        <v>0</v>
      </c>
      <c r="Z65" s="205" t="str">
        <f>IF(Z$47&lt;=KPI!$O$2,Z43/$AK$26,"")</f>
        <v/>
      </c>
      <c r="AA65" s="205" t="str">
        <f>IF(AA$47&lt;=KPI!$O$2,AA43/$AK$26,"")</f>
        <v/>
      </c>
      <c r="AB65" s="205" t="str">
        <f>IF(AB$47&lt;=KPI!$O$2,AB43/$AK$26,"")</f>
        <v/>
      </c>
      <c r="AC65" s="205" t="str">
        <f>IF(AC$47&lt;=KPI!$O$2,AC43/$AK$26,"")</f>
        <v/>
      </c>
      <c r="AD65" s="205" t="str">
        <f>IF(AD$47&lt;=KPI!$O$2,AD43/$AK$26,"")</f>
        <v/>
      </c>
      <c r="AE65" s="205" t="str">
        <f>IF(AE$47&lt;=KPI!$O$2,AE43/$AK$26,"")</f>
        <v/>
      </c>
      <c r="AF65" s="205" t="str">
        <f>IF(AF$47&lt;=KPI!$O$2,AF43/$AK$26,"")</f>
        <v/>
      </c>
      <c r="AG65" s="205" t="str">
        <f>IF(AG$47&lt;=KPI!$O$2,AG43/$AK$26,"")</f>
        <v/>
      </c>
      <c r="AH65" s="205" t="str">
        <f>IF(AH$47&lt;=KPI!$O$2,AH43/$AK$26,"")</f>
        <v/>
      </c>
      <c r="AI65" s="205" t="str">
        <f>IF(AI$47&lt;=KPI!$O$2,AI43/$AK$26,"")</f>
        <v/>
      </c>
      <c r="AJ65" s="205" t="str">
        <f>IF(AJ$47&lt;=KPI!$O$2,AJ43/$AK$26,"")</f>
        <v/>
      </c>
      <c r="AK65" s="205" t="str">
        <f>IF(AK$47&lt;=KPI!$O$2,AK43/$AK$26,"")</f>
        <v/>
      </c>
    </row>
    <row r="66" spans="1:37">
      <c r="G66" s="181"/>
      <c r="H66" s="178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</row>
    <row r="67" spans="1:37">
      <c r="G67" s="181"/>
      <c r="H67" s="178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tabSelected="1" topLeftCell="N13" workbookViewId="0">
      <selection activeCell="C38" sqref="C38"/>
    </sheetView>
  </sheetViews>
  <sheetFormatPr defaultColWidth="8.85546875" defaultRowHeight="11.25"/>
  <cols>
    <col min="1" max="1" width="26.7109375" style="46" customWidth="1"/>
    <col min="2" max="2" width="6.7109375" style="134" customWidth="1"/>
    <col min="3" max="3" width="19.85546875" style="46" customWidth="1"/>
    <col min="4" max="7" width="8.85546875" style="46" customWidth="1"/>
    <col min="8" max="8" width="8.85546875" style="139" customWidth="1"/>
    <col min="9" max="31" width="8.85546875" style="46" customWidth="1"/>
    <col min="32" max="32" width="10.42578125" style="151" customWidth="1"/>
    <col min="33" max="33" width="10.42578125" style="125" bestFit="1" customWidth="1"/>
    <col min="34" max="16384" width="8.85546875" style="46"/>
  </cols>
  <sheetData>
    <row r="1" spans="1:34">
      <c r="A1" s="46" t="s">
        <v>229</v>
      </c>
    </row>
    <row r="2" spans="1:34">
      <c r="A2" s="129" t="s">
        <v>232</v>
      </c>
      <c r="B2" s="135" t="s">
        <v>11</v>
      </c>
    </row>
    <row r="3" spans="1:34" s="130" customFormat="1" ht="29.45" customHeight="1">
      <c r="A3" s="130" t="s">
        <v>7</v>
      </c>
      <c r="B3" s="136"/>
      <c r="C3" s="130" t="s">
        <v>8</v>
      </c>
      <c r="D3" s="131">
        <v>42767</v>
      </c>
      <c r="E3" s="131">
        <v>42795</v>
      </c>
      <c r="F3" s="131">
        <v>42826</v>
      </c>
      <c r="G3" s="131">
        <v>42856</v>
      </c>
      <c r="H3" s="140">
        <v>42887</v>
      </c>
      <c r="I3" s="131">
        <v>42917</v>
      </c>
      <c r="J3" s="131">
        <v>42948</v>
      </c>
      <c r="K3" s="131">
        <v>42979</v>
      </c>
      <c r="L3" s="131">
        <v>43009</v>
      </c>
      <c r="M3" s="131">
        <v>43040</v>
      </c>
      <c r="N3" s="131">
        <v>43070</v>
      </c>
      <c r="O3" s="131">
        <v>43101</v>
      </c>
      <c r="P3" s="131">
        <v>43132</v>
      </c>
      <c r="Q3" s="131">
        <v>43160</v>
      </c>
      <c r="R3" s="131">
        <v>43191</v>
      </c>
      <c r="S3" s="131">
        <v>43221</v>
      </c>
      <c r="T3" s="131">
        <v>43252</v>
      </c>
      <c r="U3" s="131">
        <v>43282</v>
      </c>
      <c r="V3" s="131">
        <v>43313</v>
      </c>
      <c r="W3" s="131">
        <v>43344</v>
      </c>
      <c r="X3" s="131">
        <v>43374</v>
      </c>
      <c r="Y3" s="131">
        <v>43405</v>
      </c>
      <c r="Z3" s="131">
        <v>43435</v>
      </c>
      <c r="AA3" s="131">
        <v>43466</v>
      </c>
      <c r="AB3" s="131">
        <v>43497</v>
      </c>
      <c r="AC3" s="131">
        <v>43525</v>
      </c>
      <c r="AD3" s="131">
        <v>43556</v>
      </c>
      <c r="AE3" s="131">
        <v>43586</v>
      </c>
      <c r="AF3" s="152">
        <v>43617</v>
      </c>
      <c r="AG3" s="174">
        <v>43647</v>
      </c>
      <c r="AH3" s="131">
        <v>43678</v>
      </c>
    </row>
    <row r="4" spans="1:34" s="130" customFormat="1">
      <c r="A4" s="130" t="s">
        <v>3</v>
      </c>
      <c r="B4" s="136"/>
      <c r="D4" s="130">
        <v>258937</v>
      </c>
      <c r="E4" s="130">
        <v>589070</v>
      </c>
      <c r="F4" s="130">
        <v>588993</v>
      </c>
      <c r="G4" s="130">
        <v>455626</v>
      </c>
      <c r="H4" s="141">
        <v>418993</v>
      </c>
      <c r="I4" s="130">
        <v>432960</v>
      </c>
      <c r="J4" s="130">
        <v>432960</v>
      </c>
      <c r="K4" s="130">
        <v>418993</v>
      </c>
      <c r="L4" s="130">
        <v>393879</v>
      </c>
      <c r="M4" s="130">
        <v>321292</v>
      </c>
      <c r="N4" s="130">
        <v>332002</v>
      </c>
      <c r="O4" s="130">
        <v>332002</v>
      </c>
      <c r="P4" s="130">
        <v>273790</v>
      </c>
      <c r="Q4" s="130">
        <v>303125</v>
      </c>
      <c r="R4" s="130">
        <v>293347</v>
      </c>
      <c r="S4" s="130">
        <v>303125</v>
      </c>
      <c r="T4" s="130">
        <v>293347</v>
      </c>
      <c r="U4" s="130">
        <v>1163784</v>
      </c>
      <c r="V4" s="130">
        <v>1719459</v>
      </c>
      <c r="W4" s="130">
        <v>1696799</v>
      </c>
      <c r="X4" s="130">
        <v>1753359</v>
      </c>
      <c r="Y4" s="130">
        <v>1696799</v>
      </c>
      <c r="Z4" s="130">
        <v>1753359</v>
      </c>
      <c r="AA4" s="130">
        <v>1753359</v>
      </c>
      <c r="AB4" s="130">
        <v>2181801</v>
      </c>
      <c r="AC4" s="130">
        <v>2361917</v>
      </c>
      <c r="AD4" s="130">
        <v>2285726</v>
      </c>
      <c r="AE4" s="130">
        <v>2250353</v>
      </c>
      <c r="AF4" s="152">
        <v>1679055</v>
      </c>
      <c r="AG4" s="174">
        <v>2391794</v>
      </c>
    </row>
    <row r="5" spans="1:34">
      <c r="A5" s="46" t="s">
        <v>211</v>
      </c>
      <c r="C5" s="46" t="s">
        <v>167</v>
      </c>
      <c r="D5" s="46">
        <v>91188</v>
      </c>
      <c r="E5" s="46">
        <v>100958</v>
      </c>
      <c r="F5" s="46">
        <v>97701</v>
      </c>
      <c r="G5" s="46">
        <v>100958</v>
      </c>
      <c r="H5" s="139">
        <v>97701</v>
      </c>
      <c r="I5" s="46">
        <v>100958</v>
      </c>
      <c r="J5" s="46">
        <v>100958</v>
      </c>
      <c r="K5" s="46">
        <v>97701</v>
      </c>
      <c r="L5" s="46">
        <v>61877</v>
      </c>
    </row>
    <row r="6" spans="1:34">
      <c r="A6" s="46" t="s">
        <v>212</v>
      </c>
      <c r="C6" s="46" t="s">
        <v>101</v>
      </c>
      <c r="D6" s="46">
        <v>141667</v>
      </c>
      <c r="E6" s="46">
        <v>175667</v>
      </c>
      <c r="F6" s="46">
        <v>170000</v>
      </c>
      <c r="G6" s="46">
        <v>22667</v>
      </c>
    </row>
    <row r="7" spans="1:34">
      <c r="A7" s="46" t="s">
        <v>213</v>
      </c>
      <c r="C7" s="46" t="s">
        <v>172</v>
      </c>
      <c r="E7" s="46">
        <v>197087</v>
      </c>
      <c r="F7" s="46">
        <v>203883</v>
      </c>
      <c r="G7" s="46">
        <v>210680</v>
      </c>
      <c r="H7" s="139">
        <v>203883</v>
      </c>
      <c r="I7" s="46">
        <v>210680</v>
      </c>
      <c r="J7" s="46">
        <v>210680</v>
      </c>
      <c r="K7" s="46">
        <v>203883</v>
      </c>
      <c r="L7" s="46">
        <v>210680</v>
      </c>
      <c r="M7" s="46">
        <v>203883</v>
      </c>
      <c r="N7" s="46">
        <v>210680</v>
      </c>
      <c r="O7" s="46">
        <v>210680</v>
      </c>
      <c r="P7" s="46">
        <v>190291</v>
      </c>
      <c r="Q7" s="46">
        <v>210680</v>
      </c>
      <c r="R7" s="46">
        <v>203883</v>
      </c>
      <c r="S7" s="46">
        <v>210680</v>
      </c>
      <c r="T7" s="46">
        <v>203883</v>
      </c>
      <c r="U7" s="46">
        <v>203883</v>
      </c>
    </row>
    <row r="8" spans="1:34">
      <c r="A8" s="46" t="s">
        <v>214</v>
      </c>
      <c r="C8" s="46" t="s">
        <v>174</v>
      </c>
      <c r="E8" s="46">
        <v>86481</v>
      </c>
      <c r="F8" s="46">
        <v>89463</v>
      </c>
      <c r="G8" s="46">
        <v>92445</v>
      </c>
      <c r="H8" s="139">
        <v>89463</v>
      </c>
      <c r="I8" s="46">
        <v>92445</v>
      </c>
      <c r="J8" s="46">
        <v>92445</v>
      </c>
      <c r="K8" s="46">
        <v>89463</v>
      </c>
      <c r="L8" s="46">
        <v>92445</v>
      </c>
      <c r="M8" s="46">
        <v>89463</v>
      </c>
      <c r="N8" s="46">
        <v>92445</v>
      </c>
      <c r="O8" s="46">
        <v>92445</v>
      </c>
      <c r="P8" s="46">
        <v>83499</v>
      </c>
      <c r="Q8" s="46">
        <v>92445</v>
      </c>
      <c r="R8" s="46">
        <v>89463</v>
      </c>
      <c r="S8" s="46">
        <v>92445</v>
      </c>
      <c r="T8" s="46">
        <v>89463</v>
      </c>
      <c r="U8" s="46">
        <v>53678</v>
      </c>
    </row>
    <row r="9" spans="1:34">
      <c r="A9" s="46" t="s">
        <v>215</v>
      </c>
      <c r="C9" s="46" t="s">
        <v>153</v>
      </c>
      <c r="D9" s="46">
        <v>26082</v>
      </c>
      <c r="E9" s="46">
        <v>28877</v>
      </c>
      <c r="F9" s="46">
        <v>27945</v>
      </c>
      <c r="G9" s="46">
        <v>28877</v>
      </c>
      <c r="H9" s="139">
        <v>27945</v>
      </c>
      <c r="I9" s="46">
        <v>28877</v>
      </c>
      <c r="J9" s="46">
        <v>28877</v>
      </c>
      <c r="K9" s="46">
        <v>27945</v>
      </c>
      <c r="L9" s="46">
        <v>28877</v>
      </c>
      <c r="M9" s="46">
        <v>27945</v>
      </c>
      <c r="N9" s="46">
        <v>28877</v>
      </c>
      <c r="O9" s="46">
        <v>28877</v>
      </c>
    </row>
    <row r="10" spans="1:34">
      <c r="A10" s="46" t="s">
        <v>216</v>
      </c>
      <c r="C10" s="46" t="s">
        <v>111</v>
      </c>
      <c r="U10" s="46">
        <v>56535</v>
      </c>
      <c r="V10" s="46">
        <v>56535</v>
      </c>
      <c r="W10" s="46">
        <v>54711</v>
      </c>
      <c r="X10" s="46">
        <v>56535</v>
      </c>
      <c r="Y10" s="46">
        <v>54711</v>
      </c>
      <c r="Z10" s="46">
        <v>56535</v>
      </c>
      <c r="AA10" s="46">
        <v>56535</v>
      </c>
      <c r="AB10" s="46">
        <v>51064</v>
      </c>
      <c r="AC10" s="46">
        <v>56535</v>
      </c>
      <c r="AD10" s="46">
        <v>54711</v>
      </c>
      <c r="AE10" s="46">
        <v>45593</v>
      </c>
    </row>
    <row r="11" spans="1:34">
      <c r="A11" s="46" t="s">
        <v>217</v>
      </c>
      <c r="C11" s="46" t="s">
        <v>134</v>
      </c>
      <c r="U11" s="46">
        <v>178882</v>
      </c>
      <c r="V11" s="46">
        <v>231056</v>
      </c>
      <c r="W11" s="46">
        <v>223602</v>
      </c>
      <c r="X11" s="46">
        <v>231056</v>
      </c>
      <c r="Y11" s="46">
        <v>223602</v>
      </c>
      <c r="Z11" s="46">
        <v>231056</v>
      </c>
      <c r="AA11" s="46">
        <v>231056</v>
      </c>
      <c r="AB11" s="46">
        <v>208696</v>
      </c>
      <c r="AC11" s="46">
        <v>231056</v>
      </c>
      <c r="AD11" s="46">
        <v>223602</v>
      </c>
      <c r="AE11" s="46">
        <v>186335</v>
      </c>
    </row>
    <row r="12" spans="1:34">
      <c r="A12" s="46" t="s">
        <v>218</v>
      </c>
      <c r="C12" s="46" t="s">
        <v>112</v>
      </c>
      <c r="U12" s="46">
        <v>223602</v>
      </c>
      <c r="V12" s="46">
        <v>288820</v>
      </c>
      <c r="W12" s="46">
        <v>279503</v>
      </c>
      <c r="X12" s="46">
        <v>288820</v>
      </c>
      <c r="Y12" s="46">
        <v>279503</v>
      </c>
      <c r="Z12" s="46">
        <v>288820</v>
      </c>
      <c r="AA12" s="46">
        <v>288820</v>
      </c>
      <c r="AB12" s="46">
        <v>260870</v>
      </c>
      <c r="AC12" s="46">
        <v>288820</v>
      </c>
      <c r="AD12" s="46">
        <v>279503</v>
      </c>
      <c r="AE12" s="46">
        <v>232919</v>
      </c>
    </row>
    <row r="13" spans="1:34">
      <c r="A13" s="46" t="s">
        <v>219</v>
      </c>
      <c r="C13" s="46" t="s">
        <v>104</v>
      </c>
      <c r="U13" s="46">
        <v>60345</v>
      </c>
      <c r="V13" s="46">
        <v>89080</v>
      </c>
      <c r="W13" s="46">
        <v>86207</v>
      </c>
      <c r="X13" s="46">
        <v>89080</v>
      </c>
      <c r="Y13" s="46">
        <v>86207</v>
      </c>
      <c r="Z13" s="46">
        <v>89080</v>
      </c>
      <c r="AA13" s="46">
        <v>89080</v>
      </c>
      <c r="AB13" s="46">
        <v>80460</v>
      </c>
      <c r="AC13" s="46">
        <v>89080</v>
      </c>
      <c r="AD13" s="46">
        <v>86207</v>
      </c>
      <c r="AE13" s="46">
        <v>89080</v>
      </c>
      <c r="AF13" s="151">
        <v>66092</v>
      </c>
    </row>
    <row r="14" spans="1:34">
      <c r="A14" s="46" t="s">
        <v>220</v>
      </c>
      <c r="C14" s="46" t="s">
        <v>113</v>
      </c>
      <c r="U14" s="46">
        <v>57478</v>
      </c>
      <c r="V14" s="46">
        <v>127273</v>
      </c>
      <c r="W14" s="46">
        <v>123167</v>
      </c>
      <c r="X14" s="46">
        <v>127273</v>
      </c>
      <c r="Y14" s="46">
        <v>123167</v>
      </c>
      <c r="Z14" s="46">
        <v>127273</v>
      </c>
      <c r="AA14" s="46">
        <v>127273</v>
      </c>
      <c r="AB14" s="46">
        <v>114956</v>
      </c>
      <c r="AC14" s="46">
        <v>127273</v>
      </c>
      <c r="AD14" s="46">
        <v>123167</v>
      </c>
      <c r="AE14" s="46">
        <v>127273</v>
      </c>
      <c r="AF14" s="151">
        <v>94428</v>
      </c>
    </row>
    <row r="15" spans="1:34">
      <c r="A15" s="46" t="s">
        <v>221</v>
      </c>
      <c r="C15" s="46" t="s">
        <v>114</v>
      </c>
      <c r="U15" s="46">
        <v>82345</v>
      </c>
      <c r="V15" s="46">
        <v>196361</v>
      </c>
      <c r="W15" s="46">
        <v>190027</v>
      </c>
      <c r="X15" s="46">
        <v>196361</v>
      </c>
      <c r="Y15" s="46">
        <v>190027</v>
      </c>
      <c r="Z15" s="46">
        <v>196361</v>
      </c>
      <c r="AA15" s="46">
        <v>196361</v>
      </c>
      <c r="AB15" s="46">
        <v>177358</v>
      </c>
      <c r="AC15" s="46">
        <v>196361</v>
      </c>
      <c r="AD15" s="46">
        <v>190027</v>
      </c>
      <c r="AE15" s="46">
        <v>196361</v>
      </c>
      <c r="AF15" s="151">
        <v>190027</v>
      </c>
      <c r="AG15" s="125">
        <v>152022</v>
      </c>
    </row>
    <row r="16" spans="1:34">
      <c r="A16" s="46" t="s">
        <v>222</v>
      </c>
      <c r="C16" s="46" t="s">
        <v>115</v>
      </c>
      <c r="U16" s="46">
        <v>82345</v>
      </c>
      <c r="V16" s="46">
        <v>196361</v>
      </c>
      <c r="W16" s="46">
        <v>190027</v>
      </c>
      <c r="X16" s="46">
        <v>196361</v>
      </c>
      <c r="Y16" s="46">
        <v>190027</v>
      </c>
      <c r="Z16" s="46">
        <v>196361</v>
      </c>
      <c r="AA16" s="46">
        <v>196361</v>
      </c>
      <c r="AB16" s="46">
        <v>177358</v>
      </c>
      <c r="AC16" s="46">
        <v>196361</v>
      </c>
      <c r="AD16" s="46">
        <v>190027</v>
      </c>
      <c r="AE16" s="46">
        <v>196361</v>
      </c>
      <c r="AF16" s="151">
        <v>190027</v>
      </c>
      <c r="AG16" s="125">
        <v>152022</v>
      </c>
    </row>
    <row r="17" spans="1:34">
      <c r="A17" s="46" t="s">
        <v>223</v>
      </c>
      <c r="C17" s="46" t="s">
        <v>117</v>
      </c>
      <c r="U17" s="46">
        <v>82345</v>
      </c>
      <c r="V17" s="46">
        <v>196361</v>
      </c>
      <c r="W17" s="46">
        <v>190027</v>
      </c>
      <c r="X17" s="46">
        <v>196361</v>
      </c>
      <c r="Y17" s="46">
        <v>190027</v>
      </c>
      <c r="Z17" s="46">
        <v>196361</v>
      </c>
      <c r="AA17" s="46">
        <v>196361</v>
      </c>
      <c r="AB17" s="46">
        <v>177358</v>
      </c>
      <c r="AC17" s="46">
        <v>196361</v>
      </c>
      <c r="AD17" s="46">
        <v>190027</v>
      </c>
      <c r="AE17" s="46">
        <v>196361</v>
      </c>
      <c r="AF17" s="151">
        <v>190027</v>
      </c>
      <c r="AG17" s="125">
        <v>152022</v>
      </c>
    </row>
    <row r="18" spans="1:34">
      <c r="A18" s="46" t="s">
        <v>224</v>
      </c>
      <c r="C18" s="46" t="s">
        <v>116</v>
      </c>
      <c r="U18" s="46">
        <v>82345</v>
      </c>
      <c r="V18" s="46">
        <v>196361</v>
      </c>
      <c r="W18" s="46">
        <v>190027</v>
      </c>
      <c r="X18" s="46">
        <v>196361</v>
      </c>
      <c r="Y18" s="46">
        <v>190027</v>
      </c>
      <c r="Z18" s="46">
        <v>196361</v>
      </c>
      <c r="AA18" s="46">
        <v>196361</v>
      </c>
      <c r="AB18" s="46">
        <v>177358</v>
      </c>
      <c r="AC18" s="46">
        <v>196361</v>
      </c>
      <c r="AD18" s="46">
        <v>190027</v>
      </c>
      <c r="AE18" s="46">
        <v>196361</v>
      </c>
      <c r="AF18" s="151">
        <v>190027</v>
      </c>
      <c r="AG18" s="125">
        <v>152022</v>
      </c>
    </row>
    <row r="19" spans="1:34">
      <c r="A19" s="46" t="s">
        <v>225</v>
      </c>
      <c r="C19" s="46" t="s">
        <v>198</v>
      </c>
      <c r="V19" s="46">
        <v>141250</v>
      </c>
      <c r="W19" s="46">
        <v>169500</v>
      </c>
      <c r="X19" s="46">
        <v>175150</v>
      </c>
      <c r="Y19" s="46">
        <v>169500</v>
      </c>
      <c r="Z19" s="46">
        <v>175150</v>
      </c>
      <c r="AA19" s="46">
        <v>175150</v>
      </c>
      <c r="AB19" s="46">
        <v>124300</v>
      </c>
    </row>
    <row r="20" spans="1:34">
      <c r="A20" s="46" t="s">
        <v>226</v>
      </c>
      <c r="C20" s="46" t="s">
        <v>118</v>
      </c>
      <c r="AB20" s="46">
        <v>632022</v>
      </c>
      <c r="AC20" s="46">
        <v>783708</v>
      </c>
      <c r="AD20" s="46">
        <v>758427</v>
      </c>
      <c r="AE20" s="46">
        <v>783708</v>
      </c>
      <c r="AF20" s="151">
        <v>758427</v>
      </c>
      <c r="AG20" s="125">
        <v>783708</v>
      </c>
    </row>
    <row r="21" spans="1:34">
      <c r="A21" s="46" t="s">
        <v>227</v>
      </c>
      <c r="C21" s="46" t="s">
        <v>194</v>
      </c>
      <c r="AG21" s="125">
        <v>1000000</v>
      </c>
    </row>
    <row r="24" spans="1:34">
      <c r="A24" s="129" t="s">
        <v>233</v>
      </c>
      <c r="B24" s="135" t="s">
        <v>11</v>
      </c>
    </row>
    <row r="25" spans="1:34" s="130" customFormat="1">
      <c r="A25" s="130" t="s">
        <v>7</v>
      </c>
      <c r="B25" s="136">
        <v>1</v>
      </c>
      <c r="C25" s="130" t="s">
        <v>8</v>
      </c>
      <c r="D25" s="131">
        <v>42767</v>
      </c>
      <c r="E25" s="131">
        <v>42795</v>
      </c>
      <c r="F25" s="131">
        <v>42826</v>
      </c>
      <c r="G25" s="131">
        <v>42856</v>
      </c>
      <c r="H25" s="140">
        <v>42887</v>
      </c>
      <c r="I25" s="131">
        <v>42917</v>
      </c>
      <c r="J25" s="131">
        <v>42948</v>
      </c>
      <c r="K25" s="131">
        <v>42979</v>
      </c>
      <c r="L25" s="131">
        <v>43009</v>
      </c>
      <c r="M25" s="131">
        <v>43040</v>
      </c>
      <c r="N25" s="131">
        <v>43070</v>
      </c>
      <c r="O25" s="131">
        <v>43101</v>
      </c>
      <c r="P25" s="131">
        <v>43132</v>
      </c>
      <c r="Q25" s="131">
        <v>43160</v>
      </c>
      <c r="R25" s="131">
        <v>43191</v>
      </c>
      <c r="S25" s="131">
        <v>43221</v>
      </c>
      <c r="T25" s="131">
        <v>43252</v>
      </c>
      <c r="U25" s="131">
        <v>43282</v>
      </c>
      <c r="V25" s="131">
        <v>43313</v>
      </c>
      <c r="W25" s="131">
        <v>43344</v>
      </c>
      <c r="X25" s="131">
        <v>43374</v>
      </c>
      <c r="Y25" s="131">
        <v>43405</v>
      </c>
      <c r="Z25" s="131">
        <v>43435</v>
      </c>
      <c r="AA25" s="131">
        <v>43466</v>
      </c>
      <c r="AB25" s="131">
        <v>43497</v>
      </c>
      <c r="AC25" s="131">
        <v>43525</v>
      </c>
      <c r="AD25" s="131">
        <v>43556</v>
      </c>
      <c r="AE25" s="131">
        <v>43586</v>
      </c>
      <c r="AF25" s="152">
        <v>43617</v>
      </c>
      <c r="AG25" s="174">
        <v>43647</v>
      </c>
      <c r="AH25" s="131">
        <v>43678</v>
      </c>
    </row>
    <row r="26" spans="1:34" s="130" customFormat="1">
      <c r="A26" s="130" t="s">
        <v>3</v>
      </c>
      <c r="B26" s="138">
        <f>B25+1</f>
        <v>2</v>
      </c>
      <c r="D26" s="130">
        <f>SUM($D4:D4)</f>
        <v>258937</v>
      </c>
      <c r="E26" s="130">
        <f>SUM($D4:E4)</f>
        <v>848007</v>
      </c>
      <c r="F26" s="130">
        <f>SUM($D4:F4)</f>
        <v>1437000</v>
      </c>
      <c r="G26" s="130">
        <f>SUM($D4:G4)</f>
        <v>1892626</v>
      </c>
      <c r="H26" s="141">
        <f>SUM($D4:H4)</f>
        <v>2311619</v>
      </c>
      <c r="I26" s="130">
        <f>SUM($D4:I4)</f>
        <v>2744579</v>
      </c>
      <c r="J26" s="130">
        <f>SUM($D4:J4)</f>
        <v>3177539</v>
      </c>
      <c r="K26" s="130">
        <f>SUM($D4:K4)</f>
        <v>3596532</v>
      </c>
      <c r="L26" s="130">
        <f>SUM($D4:L4)</f>
        <v>3990411</v>
      </c>
      <c r="M26" s="130">
        <f>SUM($D4:M4)</f>
        <v>4311703</v>
      </c>
      <c r="N26" s="130">
        <f>SUM($D4:N4)</f>
        <v>4643705</v>
      </c>
      <c r="O26" s="130">
        <f>SUM($D4:O4)</f>
        <v>4975707</v>
      </c>
      <c r="P26" s="130">
        <f>SUM($D4:P4)</f>
        <v>5249497</v>
      </c>
      <c r="Q26" s="130">
        <f>SUM($D4:Q4)</f>
        <v>5552622</v>
      </c>
      <c r="R26" s="130">
        <f>SUM($D4:R4)</f>
        <v>5845969</v>
      </c>
      <c r="S26" s="130">
        <f>SUM($D4:S4)</f>
        <v>6149094</v>
      </c>
      <c r="T26" s="130">
        <f>SUM($D4:T4)</f>
        <v>6442441</v>
      </c>
      <c r="U26" s="130">
        <f>SUM($D4:U4)</f>
        <v>7606225</v>
      </c>
      <c r="V26" s="130">
        <f>SUM($D4:V4)</f>
        <v>9325684</v>
      </c>
      <c r="W26" s="130">
        <f>SUM($D4:W4)</f>
        <v>11022483</v>
      </c>
      <c r="X26" s="130">
        <f>SUM($D4:X4)</f>
        <v>12775842</v>
      </c>
      <c r="Y26" s="130">
        <f>SUM($D4:Y4)</f>
        <v>14472641</v>
      </c>
      <c r="Z26" s="130">
        <f>SUM($D4:Z4)</f>
        <v>16226000</v>
      </c>
      <c r="AA26" s="130">
        <f>SUM($D4:AA4)</f>
        <v>17979359</v>
      </c>
      <c r="AB26" s="130">
        <f>SUM($D4:AB4)</f>
        <v>20161160</v>
      </c>
      <c r="AC26" s="130">
        <f>SUM($D4:AC4)</f>
        <v>22523077</v>
      </c>
      <c r="AD26" s="130">
        <f>SUM($D4:AD4)</f>
        <v>24808803</v>
      </c>
      <c r="AE26" s="130">
        <f>SUM($D4:AE4)</f>
        <v>27059156</v>
      </c>
      <c r="AF26" s="152">
        <f>SUM($D4:AF4)</f>
        <v>28738211</v>
      </c>
      <c r="AG26" s="174">
        <f>SUM($D4:AG4)</f>
        <v>31130005</v>
      </c>
    </row>
    <row r="27" spans="1:34">
      <c r="A27" s="46" t="s">
        <v>211</v>
      </c>
      <c r="B27" s="134">
        <f t="shared" ref="B27:B43" si="0">B26+1</f>
        <v>3</v>
      </c>
      <c r="C27" s="173" t="s">
        <v>167</v>
      </c>
      <c r="D27" s="46">
        <f>SUM($D5:D5)</f>
        <v>91188</v>
      </c>
      <c r="E27" s="46">
        <f>SUM($D5:E5)</f>
        <v>192146</v>
      </c>
      <c r="F27" s="46">
        <f>SUM($D5:F5)</f>
        <v>289847</v>
      </c>
      <c r="G27" s="46">
        <f>SUM($D5:G5)</f>
        <v>390805</v>
      </c>
      <c r="H27" s="139">
        <f>SUM($D5:H5)</f>
        <v>488506</v>
      </c>
      <c r="I27" s="46">
        <f>SUM($D5:I5)</f>
        <v>589464</v>
      </c>
      <c r="J27" s="46">
        <f>SUM($D5:J5)</f>
        <v>690422</v>
      </c>
      <c r="K27" s="46">
        <f>SUM($D5:K5)</f>
        <v>788123</v>
      </c>
      <c r="L27" s="46">
        <f>SUM($D5:L5)</f>
        <v>850000</v>
      </c>
      <c r="M27" s="46">
        <f>SUM($D5:M5)</f>
        <v>850000</v>
      </c>
      <c r="N27" s="46">
        <f>SUM($D5:N5)</f>
        <v>850000</v>
      </c>
      <c r="O27" s="46">
        <f>SUM($D5:O5)</f>
        <v>850000</v>
      </c>
      <c r="P27" s="46">
        <f>SUM($D5:P5)</f>
        <v>850000</v>
      </c>
      <c r="Q27" s="46">
        <f>SUM($D5:Q5)</f>
        <v>850000</v>
      </c>
      <c r="R27" s="46">
        <f>SUM($D5:R5)</f>
        <v>850000</v>
      </c>
      <c r="S27" s="46">
        <f>SUM($D5:S5)</f>
        <v>850000</v>
      </c>
      <c r="T27" s="46">
        <f>SUM($D5:T5)</f>
        <v>850000</v>
      </c>
      <c r="U27" s="46">
        <f>SUM($D5:U5)</f>
        <v>850000</v>
      </c>
      <c r="V27" s="46">
        <f>SUM($D5:V5)</f>
        <v>850000</v>
      </c>
      <c r="W27" s="46">
        <f>SUM($D5:W5)</f>
        <v>850000</v>
      </c>
      <c r="X27" s="46">
        <f>SUM($D5:X5)</f>
        <v>850000</v>
      </c>
      <c r="Y27" s="46">
        <f>SUM($D5:Y5)</f>
        <v>850000</v>
      </c>
      <c r="Z27" s="46">
        <f>SUM($D5:Z5)</f>
        <v>850000</v>
      </c>
      <c r="AA27" s="46">
        <f>SUM($D5:AA5)</f>
        <v>850000</v>
      </c>
      <c r="AB27" s="46">
        <f>SUM($D5:AB5)</f>
        <v>850000</v>
      </c>
      <c r="AC27" s="46">
        <f>SUM($D5:AC5)</f>
        <v>850000</v>
      </c>
      <c r="AD27" s="46">
        <f>SUM($D5:AD5)</f>
        <v>850000</v>
      </c>
      <c r="AE27" s="46">
        <f>SUM($D5:AE5)</f>
        <v>850000</v>
      </c>
      <c r="AF27" s="151">
        <f>SUM($D5:AF5)</f>
        <v>850000</v>
      </c>
      <c r="AG27" s="125">
        <f>SUM($D5:AG5)</f>
        <v>850000</v>
      </c>
    </row>
    <row r="28" spans="1:34">
      <c r="A28" s="46" t="s">
        <v>212</v>
      </c>
      <c r="B28" s="134">
        <f t="shared" si="0"/>
        <v>4</v>
      </c>
      <c r="C28" s="46" t="s">
        <v>101</v>
      </c>
      <c r="D28" s="46">
        <f>SUM($D6:D6)</f>
        <v>141667</v>
      </c>
      <c r="E28" s="46">
        <f>SUM($D6:E6)</f>
        <v>317334</v>
      </c>
      <c r="F28" s="46">
        <f>SUM($D6:F6)</f>
        <v>487334</v>
      </c>
      <c r="G28" s="46">
        <f>SUM($D6:G6)</f>
        <v>510001</v>
      </c>
      <c r="H28" s="139">
        <f>SUM($D6:H6)</f>
        <v>510001</v>
      </c>
      <c r="I28" s="46">
        <f>SUM($D6:I6)</f>
        <v>510001</v>
      </c>
      <c r="J28" s="46">
        <f>SUM($D6:J6)</f>
        <v>510001</v>
      </c>
      <c r="K28" s="46">
        <f>SUM($D6:K6)</f>
        <v>510001</v>
      </c>
      <c r="L28" s="46">
        <f>SUM($D6:L6)</f>
        <v>510001</v>
      </c>
      <c r="M28" s="46">
        <f>SUM($D6:M6)</f>
        <v>510001</v>
      </c>
      <c r="N28" s="46">
        <f>SUM($D6:N6)</f>
        <v>510001</v>
      </c>
      <c r="O28" s="46">
        <f>SUM($D6:O6)</f>
        <v>510001</v>
      </c>
      <c r="P28" s="46">
        <f>SUM($D6:P6)</f>
        <v>510001</v>
      </c>
      <c r="Q28" s="46">
        <f>SUM($D6:Q6)</f>
        <v>510001</v>
      </c>
      <c r="R28" s="46">
        <f>SUM($D6:R6)</f>
        <v>510001</v>
      </c>
      <c r="S28" s="46">
        <f>SUM($D6:S6)</f>
        <v>510001</v>
      </c>
      <c r="T28" s="46">
        <f>SUM($D6:T6)</f>
        <v>510001</v>
      </c>
      <c r="U28" s="46">
        <f>SUM($D6:U6)</f>
        <v>510001</v>
      </c>
      <c r="V28" s="46">
        <f>SUM($D6:V6)</f>
        <v>510001</v>
      </c>
      <c r="W28" s="46">
        <f>SUM($D6:W6)</f>
        <v>510001</v>
      </c>
      <c r="X28" s="46">
        <f>SUM($D6:X6)</f>
        <v>510001</v>
      </c>
      <c r="Y28" s="46">
        <f>SUM($D6:Y6)</f>
        <v>510001</v>
      </c>
      <c r="Z28" s="46">
        <f>SUM($D6:Z6)</f>
        <v>510001</v>
      </c>
      <c r="AA28" s="46">
        <f>SUM($D6:AA6)</f>
        <v>510001</v>
      </c>
      <c r="AB28" s="46">
        <f>SUM($D6:AB6)</f>
        <v>510001</v>
      </c>
      <c r="AC28" s="46">
        <f>SUM($D6:AC6)</f>
        <v>510001</v>
      </c>
      <c r="AD28" s="46">
        <f>SUM($D6:AD6)</f>
        <v>510001</v>
      </c>
      <c r="AE28" s="46">
        <f>SUM($D6:AE6)</f>
        <v>510001</v>
      </c>
      <c r="AF28" s="151">
        <f>SUM($D6:AF6)</f>
        <v>510001</v>
      </c>
      <c r="AG28" s="125">
        <f>SUM($D6:AG6)</f>
        <v>510001</v>
      </c>
    </row>
    <row r="29" spans="1:34">
      <c r="A29" s="46" t="s">
        <v>213</v>
      </c>
      <c r="B29" s="134">
        <f t="shared" si="0"/>
        <v>5</v>
      </c>
      <c r="C29" s="46" t="s">
        <v>172</v>
      </c>
      <c r="D29" s="46">
        <f>SUM($D7:D7)</f>
        <v>0</v>
      </c>
      <c r="E29" s="46">
        <f>SUM($D7:E7)</f>
        <v>197087</v>
      </c>
      <c r="F29" s="46">
        <f>SUM($D7:F7)</f>
        <v>400970</v>
      </c>
      <c r="G29" s="46">
        <f>SUM($D7:G7)</f>
        <v>611650</v>
      </c>
      <c r="H29" s="139">
        <f>SUM($D7:H7)</f>
        <v>815533</v>
      </c>
      <c r="I29" s="46">
        <f>SUM($D7:I7)</f>
        <v>1026213</v>
      </c>
      <c r="J29" s="46">
        <f>SUM($D7:J7)</f>
        <v>1236893</v>
      </c>
      <c r="K29" s="46">
        <f>SUM($D7:K7)</f>
        <v>1440776</v>
      </c>
      <c r="L29" s="46">
        <f>SUM($D7:L7)</f>
        <v>1651456</v>
      </c>
      <c r="M29" s="46">
        <f>SUM($D7:M7)</f>
        <v>1855339</v>
      </c>
      <c r="N29" s="46">
        <f>SUM($D7:N7)</f>
        <v>2066019</v>
      </c>
      <c r="O29" s="46">
        <f>SUM($D7:O7)</f>
        <v>2276699</v>
      </c>
      <c r="P29" s="46">
        <f>SUM($D7:P7)</f>
        <v>2466990</v>
      </c>
      <c r="Q29" s="46">
        <f>SUM($D7:Q7)</f>
        <v>2677670</v>
      </c>
      <c r="R29" s="46">
        <f>SUM($D7:R7)</f>
        <v>2881553</v>
      </c>
      <c r="S29" s="46">
        <f>SUM($D7:S7)</f>
        <v>3092233</v>
      </c>
      <c r="T29" s="46">
        <f>SUM($D7:T7)</f>
        <v>3296116</v>
      </c>
      <c r="U29" s="46">
        <f>SUM($D7:U7)</f>
        <v>3499999</v>
      </c>
      <c r="V29" s="46">
        <f>SUM($D7:V7)</f>
        <v>3499999</v>
      </c>
      <c r="W29" s="46">
        <f>SUM($D7:W7)</f>
        <v>3499999</v>
      </c>
      <c r="X29" s="46">
        <f>SUM($D7:X7)</f>
        <v>3499999</v>
      </c>
      <c r="Y29" s="46">
        <f>SUM($D7:Y7)</f>
        <v>3499999</v>
      </c>
      <c r="Z29" s="46">
        <f>SUM($D7:Z7)</f>
        <v>3499999</v>
      </c>
      <c r="AA29" s="46">
        <f>SUM($D7:AA7)</f>
        <v>3499999</v>
      </c>
      <c r="AB29" s="46">
        <f>SUM($D7:AB7)</f>
        <v>3499999</v>
      </c>
      <c r="AC29" s="46">
        <f>SUM($D7:AC7)</f>
        <v>3499999</v>
      </c>
      <c r="AD29" s="46">
        <f>SUM($D7:AD7)</f>
        <v>3499999</v>
      </c>
      <c r="AE29" s="46">
        <f>SUM($D7:AE7)</f>
        <v>3499999</v>
      </c>
      <c r="AF29" s="151">
        <f>SUM($D7:AF7)</f>
        <v>3499999</v>
      </c>
      <c r="AG29" s="125">
        <f>SUM($D7:AG7)</f>
        <v>3499999</v>
      </c>
    </row>
    <row r="30" spans="1:34">
      <c r="A30" s="46" t="s">
        <v>214</v>
      </c>
      <c r="B30" s="134">
        <f t="shared" si="0"/>
        <v>6</v>
      </c>
      <c r="C30" s="46" t="s">
        <v>174</v>
      </c>
      <c r="D30" s="46">
        <f>SUM($D8:D8)</f>
        <v>0</v>
      </c>
      <c r="E30" s="46">
        <f>SUM($D8:E8)</f>
        <v>86481</v>
      </c>
      <c r="F30" s="46">
        <f>SUM($D8:F8)</f>
        <v>175944</v>
      </c>
      <c r="G30" s="46">
        <f>SUM($D8:G8)</f>
        <v>268389</v>
      </c>
      <c r="H30" s="139">
        <f>SUM($D8:H8)</f>
        <v>357852</v>
      </c>
      <c r="I30" s="46">
        <f>SUM($D8:I8)</f>
        <v>450297</v>
      </c>
      <c r="J30" s="46">
        <f>SUM($D8:J8)</f>
        <v>542742</v>
      </c>
      <c r="K30" s="46">
        <f>SUM($D8:K8)</f>
        <v>632205</v>
      </c>
      <c r="L30" s="46">
        <f>SUM($D8:L8)</f>
        <v>724650</v>
      </c>
      <c r="M30" s="46">
        <f>SUM($D8:M8)</f>
        <v>814113</v>
      </c>
      <c r="N30" s="46">
        <f>SUM($D8:N8)</f>
        <v>906558</v>
      </c>
      <c r="O30" s="46">
        <f>SUM($D8:O8)</f>
        <v>999003</v>
      </c>
      <c r="P30" s="46">
        <f>SUM($D8:P8)</f>
        <v>1082502</v>
      </c>
      <c r="Q30" s="46">
        <f>SUM($D8:Q8)</f>
        <v>1174947</v>
      </c>
      <c r="R30" s="46">
        <f>SUM($D8:R8)</f>
        <v>1264410</v>
      </c>
      <c r="S30" s="46">
        <f>SUM($D8:S8)</f>
        <v>1356855</v>
      </c>
      <c r="T30" s="46">
        <f>SUM($D8:T8)</f>
        <v>1446318</v>
      </c>
      <c r="U30" s="46">
        <f>SUM($D8:U8)</f>
        <v>1499996</v>
      </c>
      <c r="V30" s="46">
        <f>SUM($D8:V8)</f>
        <v>1499996</v>
      </c>
      <c r="W30" s="46">
        <f>SUM($D8:W8)</f>
        <v>1499996</v>
      </c>
      <c r="X30" s="46">
        <f>SUM($D8:X8)</f>
        <v>1499996</v>
      </c>
      <c r="Y30" s="46">
        <f>SUM($D8:Y8)</f>
        <v>1499996</v>
      </c>
      <c r="Z30" s="46">
        <f>SUM($D8:Z8)</f>
        <v>1499996</v>
      </c>
      <c r="AA30" s="46">
        <f>SUM($D8:AA8)</f>
        <v>1499996</v>
      </c>
      <c r="AB30" s="46">
        <f>SUM($D8:AB8)</f>
        <v>1499996</v>
      </c>
      <c r="AC30" s="46">
        <f>SUM($D8:AC8)</f>
        <v>1499996</v>
      </c>
      <c r="AD30" s="46">
        <f>SUM($D8:AD8)</f>
        <v>1499996</v>
      </c>
      <c r="AE30" s="46">
        <f>SUM($D8:AE8)</f>
        <v>1499996</v>
      </c>
      <c r="AF30" s="151">
        <f>SUM($D8:AF8)</f>
        <v>1499996</v>
      </c>
      <c r="AG30" s="125">
        <f>SUM($D8:AG8)</f>
        <v>1499996</v>
      </c>
    </row>
    <row r="31" spans="1:34">
      <c r="A31" s="46" t="s">
        <v>215</v>
      </c>
      <c r="B31" s="134">
        <f t="shared" si="0"/>
        <v>7</v>
      </c>
      <c r="C31" s="173" t="s">
        <v>153</v>
      </c>
      <c r="D31" s="46">
        <f>SUM($D9:D9)</f>
        <v>26082</v>
      </c>
      <c r="E31" s="46">
        <f>SUM($D9:E9)</f>
        <v>54959</v>
      </c>
      <c r="F31" s="46">
        <f>SUM($D9:F9)</f>
        <v>82904</v>
      </c>
      <c r="G31" s="46">
        <f>SUM($D9:G9)</f>
        <v>111781</v>
      </c>
      <c r="H31" s="139">
        <f>SUM($D9:H9)</f>
        <v>139726</v>
      </c>
      <c r="I31" s="46">
        <f>SUM($D9:I9)</f>
        <v>168603</v>
      </c>
      <c r="J31" s="46">
        <f>SUM($D9:J9)</f>
        <v>197480</v>
      </c>
      <c r="K31" s="46">
        <f>SUM($D9:K9)</f>
        <v>225425</v>
      </c>
      <c r="L31" s="46">
        <f>SUM($D9:L9)</f>
        <v>254302</v>
      </c>
      <c r="M31" s="46">
        <f>SUM($D9:M9)</f>
        <v>282247</v>
      </c>
      <c r="N31" s="46">
        <f>SUM($D9:N9)</f>
        <v>311124</v>
      </c>
      <c r="O31" s="46">
        <f>SUM($D9:O9)</f>
        <v>340001</v>
      </c>
      <c r="P31" s="46">
        <f>SUM($D9:P9)</f>
        <v>340001</v>
      </c>
      <c r="Q31" s="46">
        <f>SUM($D9:Q9)</f>
        <v>340001</v>
      </c>
      <c r="R31" s="46">
        <f>SUM($D9:R9)</f>
        <v>340001</v>
      </c>
      <c r="S31" s="46">
        <f>SUM($D9:S9)</f>
        <v>340001</v>
      </c>
      <c r="T31" s="46">
        <f>SUM($D9:T9)</f>
        <v>340001</v>
      </c>
      <c r="U31" s="46">
        <f>SUM($D9:U9)</f>
        <v>340001</v>
      </c>
      <c r="V31" s="46">
        <f>SUM($D9:V9)</f>
        <v>340001</v>
      </c>
      <c r="W31" s="46">
        <f>SUM($D9:W9)</f>
        <v>340001</v>
      </c>
      <c r="X31" s="46">
        <f>SUM($D9:X9)</f>
        <v>340001</v>
      </c>
      <c r="Y31" s="46">
        <f>SUM($D9:Y9)</f>
        <v>340001</v>
      </c>
      <c r="Z31" s="46">
        <f>SUM($D9:Z9)</f>
        <v>340001</v>
      </c>
      <c r="AA31" s="46">
        <f>SUM($D9:AA9)</f>
        <v>340001</v>
      </c>
      <c r="AB31" s="46">
        <f>SUM($D9:AB9)</f>
        <v>340001</v>
      </c>
      <c r="AC31" s="46">
        <f>SUM($D9:AC9)</f>
        <v>340001</v>
      </c>
      <c r="AD31" s="46">
        <f>SUM($D9:AD9)</f>
        <v>340001</v>
      </c>
      <c r="AE31" s="46">
        <f>SUM($D9:AE9)</f>
        <v>340001</v>
      </c>
      <c r="AF31" s="151">
        <f>SUM($D9:AF9)</f>
        <v>340001</v>
      </c>
      <c r="AG31" s="125">
        <f>SUM($D9:AG9)</f>
        <v>340001</v>
      </c>
    </row>
    <row r="32" spans="1:34">
      <c r="A32" s="46" t="s">
        <v>216</v>
      </c>
      <c r="B32" s="138">
        <f t="shared" si="0"/>
        <v>8</v>
      </c>
      <c r="C32" s="48" t="s">
        <v>111</v>
      </c>
      <c r="D32" s="46">
        <f>SUM($D10:D10)</f>
        <v>0</v>
      </c>
      <c r="E32" s="46">
        <f>SUM($D10:E10)</f>
        <v>0</v>
      </c>
      <c r="F32" s="46">
        <f>SUM($D10:F10)</f>
        <v>0</v>
      </c>
      <c r="G32" s="46">
        <f>SUM($D10:G10)</f>
        <v>0</v>
      </c>
      <c r="H32" s="139">
        <f>SUM($D10:H10)</f>
        <v>0</v>
      </c>
      <c r="I32" s="46">
        <f>SUM($D10:I10)</f>
        <v>0</v>
      </c>
      <c r="J32" s="46">
        <f>SUM($D10:J10)</f>
        <v>0</v>
      </c>
      <c r="K32" s="46">
        <f>SUM($D10:K10)</f>
        <v>0</v>
      </c>
      <c r="L32" s="46">
        <f>SUM($D10:L10)</f>
        <v>0</v>
      </c>
      <c r="M32" s="46">
        <f>SUM($D10:M10)</f>
        <v>0</v>
      </c>
      <c r="N32" s="46">
        <f>SUM($D10:N10)</f>
        <v>0</v>
      </c>
      <c r="O32" s="46">
        <f>SUM($D10:O10)</f>
        <v>0</v>
      </c>
      <c r="P32" s="46">
        <f>SUM($D10:P10)</f>
        <v>0</v>
      </c>
      <c r="Q32" s="46">
        <f>SUM($D10:Q10)</f>
        <v>0</v>
      </c>
      <c r="R32" s="46">
        <f>SUM($D10:R10)</f>
        <v>0</v>
      </c>
      <c r="S32" s="46">
        <f>SUM($D10:S10)</f>
        <v>0</v>
      </c>
      <c r="T32" s="46">
        <f>SUM($D10:T10)</f>
        <v>0</v>
      </c>
      <c r="U32" s="46">
        <f>SUM($D10:U10)</f>
        <v>56535</v>
      </c>
      <c r="V32" s="46">
        <f>SUM($D10:V10)</f>
        <v>113070</v>
      </c>
      <c r="W32" s="46">
        <f>SUM($D10:W10)</f>
        <v>167781</v>
      </c>
      <c r="X32" s="46">
        <f>SUM($D10:X10)</f>
        <v>224316</v>
      </c>
      <c r="Y32" s="46">
        <f>SUM($D10:Y10)</f>
        <v>279027</v>
      </c>
      <c r="Z32" s="46">
        <f>SUM($D10:Z10)</f>
        <v>335562</v>
      </c>
      <c r="AA32" s="46">
        <f>SUM($D10:AA10)</f>
        <v>392097</v>
      </c>
      <c r="AB32" s="46">
        <f>SUM($D10:AB10)</f>
        <v>443161</v>
      </c>
      <c r="AC32" s="46">
        <f>SUM($D10:AC10)</f>
        <v>499696</v>
      </c>
      <c r="AD32" s="46">
        <f>SUM($D10:AD10)</f>
        <v>554407</v>
      </c>
      <c r="AE32" s="46">
        <f>SUM($D10:AE10)</f>
        <v>600000</v>
      </c>
      <c r="AF32" s="151">
        <f>SUM($D10:AF10)</f>
        <v>600000</v>
      </c>
      <c r="AG32" s="125">
        <f>SUM($D10:AG10)</f>
        <v>600000</v>
      </c>
    </row>
    <row r="33" spans="1:34">
      <c r="A33" s="46" t="s">
        <v>217</v>
      </c>
      <c r="B33" s="138">
        <f t="shared" si="0"/>
        <v>9</v>
      </c>
      <c r="C33" s="48" t="s">
        <v>134</v>
      </c>
      <c r="D33" s="46">
        <f>SUM($D11:D11)</f>
        <v>0</v>
      </c>
      <c r="E33" s="46">
        <f>SUM($D11:E11)</f>
        <v>0</v>
      </c>
      <c r="F33" s="46">
        <f>SUM($D11:F11)</f>
        <v>0</v>
      </c>
      <c r="G33" s="46">
        <f>SUM($D11:G11)</f>
        <v>0</v>
      </c>
      <c r="H33" s="139">
        <f>SUM($D11:H11)</f>
        <v>0</v>
      </c>
      <c r="I33" s="46">
        <f>SUM($D11:I11)</f>
        <v>0</v>
      </c>
      <c r="J33" s="46">
        <f>SUM($D11:J11)</f>
        <v>0</v>
      </c>
      <c r="K33" s="46">
        <f>SUM($D11:K11)</f>
        <v>0</v>
      </c>
      <c r="L33" s="46">
        <f>SUM($D11:L11)</f>
        <v>0</v>
      </c>
      <c r="M33" s="46">
        <f>SUM($D11:M11)</f>
        <v>0</v>
      </c>
      <c r="N33" s="46">
        <f>SUM($D11:N11)</f>
        <v>0</v>
      </c>
      <c r="O33" s="46">
        <f>SUM($D11:O11)</f>
        <v>0</v>
      </c>
      <c r="P33" s="46">
        <f>SUM($D11:P11)</f>
        <v>0</v>
      </c>
      <c r="Q33" s="46">
        <f>SUM($D11:Q11)</f>
        <v>0</v>
      </c>
      <c r="R33" s="46">
        <f>SUM($D11:R11)</f>
        <v>0</v>
      </c>
      <c r="S33" s="46">
        <f>SUM($D11:S11)</f>
        <v>0</v>
      </c>
      <c r="T33" s="46">
        <f>SUM($D11:T11)</f>
        <v>0</v>
      </c>
      <c r="U33" s="46">
        <f>SUM($D11:U11)</f>
        <v>178882</v>
      </c>
      <c r="V33" s="46">
        <f>SUM($D11:V11)</f>
        <v>409938</v>
      </c>
      <c r="W33" s="46">
        <f>SUM($D11:W11)</f>
        <v>633540</v>
      </c>
      <c r="X33" s="46">
        <f>SUM($D11:X11)</f>
        <v>864596</v>
      </c>
      <c r="Y33" s="46">
        <f>SUM($D11:Y11)</f>
        <v>1088198</v>
      </c>
      <c r="Z33" s="46">
        <f>SUM($D11:Z11)</f>
        <v>1319254</v>
      </c>
      <c r="AA33" s="46">
        <f>SUM($D11:AA11)</f>
        <v>1550310</v>
      </c>
      <c r="AB33" s="46">
        <f>SUM($D11:AB11)</f>
        <v>1759006</v>
      </c>
      <c r="AC33" s="46">
        <f>SUM($D11:AC11)</f>
        <v>1990062</v>
      </c>
      <c r="AD33" s="46">
        <f>SUM($D11:AD11)</f>
        <v>2213664</v>
      </c>
      <c r="AE33" s="46">
        <f>SUM($D11:AE11)</f>
        <v>2399999</v>
      </c>
      <c r="AF33" s="151">
        <f>SUM($D11:AF11)</f>
        <v>2399999</v>
      </c>
      <c r="AG33" s="125">
        <f>SUM($D11:AG11)</f>
        <v>2399999</v>
      </c>
    </row>
    <row r="34" spans="1:34">
      <c r="A34" s="46" t="s">
        <v>218</v>
      </c>
      <c r="B34" s="138">
        <f t="shared" si="0"/>
        <v>10</v>
      </c>
      <c r="C34" s="48" t="s">
        <v>112</v>
      </c>
      <c r="D34" s="46">
        <f>SUM($D12:D12)</f>
        <v>0</v>
      </c>
      <c r="E34" s="46">
        <f>SUM($D12:E12)</f>
        <v>0</v>
      </c>
      <c r="F34" s="46">
        <f>SUM($D12:F12)</f>
        <v>0</v>
      </c>
      <c r="G34" s="46">
        <f>SUM($D12:G12)</f>
        <v>0</v>
      </c>
      <c r="H34" s="139">
        <f>SUM($D12:H12)</f>
        <v>0</v>
      </c>
      <c r="I34" s="46">
        <f>SUM($D12:I12)</f>
        <v>0</v>
      </c>
      <c r="J34" s="46">
        <f>SUM($D12:J12)</f>
        <v>0</v>
      </c>
      <c r="K34" s="46">
        <f>SUM($D12:K12)</f>
        <v>0</v>
      </c>
      <c r="L34" s="46">
        <f>SUM($D12:L12)</f>
        <v>0</v>
      </c>
      <c r="M34" s="46">
        <f>SUM($D12:M12)</f>
        <v>0</v>
      </c>
      <c r="N34" s="46">
        <f>SUM($D12:N12)</f>
        <v>0</v>
      </c>
      <c r="O34" s="46">
        <f>SUM($D12:O12)</f>
        <v>0</v>
      </c>
      <c r="P34" s="46">
        <f>SUM($D12:P12)</f>
        <v>0</v>
      </c>
      <c r="Q34" s="46">
        <f>SUM($D12:Q12)</f>
        <v>0</v>
      </c>
      <c r="R34" s="46">
        <f>SUM($D12:R12)</f>
        <v>0</v>
      </c>
      <c r="S34" s="46">
        <f>SUM($D12:S12)</f>
        <v>0</v>
      </c>
      <c r="T34" s="46">
        <f>SUM($D12:T12)</f>
        <v>0</v>
      </c>
      <c r="U34" s="46">
        <f>SUM($D12:U12)</f>
        <v>223602</v>
      </c>
      <c r="V34" s="46">
        <f>SUM($D12:V12)</f>
        <v>512422</v>
      </c>
      <c r="W34" s="46">
        <f>SUM($D12:W12)</f>
        <v>791925</v>
      </c>
      <c r="X34" s="46">
        <f>SUM($D12:X12)</f>
        <v>1080745</v>
      </c>
      <c r="Y34" s="46">
        <f>SUM($D12:Y12)</f>
        <v>1360248</v>
      </c>
      <c r="Z34" s="46">
        <f>SUM($D12:Z12)</f>
        <v>1649068</v>
      </c>
      <c r="AA34" s="46">
        <f>SUM($D12:AA12)</f>
        <v>1937888</v>
      </c>
      <c r="AB34" s="46">
        <f>SUM($D12:AB12)</f>
        <v>2198758</v>
      </c>
      <c r="AC34" s="46">
        <f>SUM($D12:AC12)</f>
        <v>2487578</v>
      </c>
      <c r="AD34" s="46">
        <f>SUM($D12:AD12)</f>
        <v>2767081</v>
      </c>
      <c r="AE34" s="46">
        <f>SUM($D12:AE12)</f>
        <v>3000000</v>
      </c>
      <c r="AF34" s="151">
        <f>SUM($D12:AF12)</f>
        <v>3000000</v>
      </c>
      <c r="AG34" s="125">
        <f>SUM($D12:AG12)</f>
        <v>3000000</v>
      </c>
    </row>
    <row r="35" spans="1:34">
      <c r="A35" s="46" t="s">
        <v>219</v>
      </c>
      <c r="B35" s="134">
        <f t="shared" si="0"/>
        <v>11</v>
      </c>
      <c r="C35" s="46" t="s">
        <v>104</v>
      </c>
      <c r="D35" s="46">
        <f>SUM($D13:D13)</f>
        <v>0</v>
      </c>
      <c r="E35" s="46">
        <f>SUM($D13:E13)</f>
        <v>0</v>
      </c>
      <c r="F35" s="46">
        <f>SUM($D13:F13)</f>
        <v>0</v>
      </c>
      <c r="G35" s="46">
        <f>SUM($D13:G13)</f>
        <v>0</v>
      </c>
      <c r="H35" s="139">
        <f>SUM($D13:H13)</f>
        <v>0</v>
      </c>
      <c r="I35" s="46">
        <f>SUM($D13:I13)</f>
        <v>0</v>
      </c>
      <c r="J35" s="46">
        <f>SUM($D13:J13)</f>
        <v>0</v>
      </c>
      <c r="K35" s="46">
        <f>SUM($D13:K13)</f>
        <v>0</v>
      </c>
      <c r="L35" s="46">
        <f>SUM($D13:L13)</f>
        <v>0</v>
      </c>
      <c r="M35" s="46">
        <f>SUM($D13:M13)</f>
        <v>0</v>
      </c>
      <c r="N35" s="46">
        <f>SUM($D13:N13)</f>
        <v>0</v>
      </c>
      <c r="O35" s="46">
        <f>SUM($D13:O13)</f>
        <v>0</v>
      </c>
      <c r="P35" s="46">
        <f>SUM($D13:P13)</f>
        <v>0</v>
      </c>
      <c r="Q35" s="46">
        <f>SUM($D13:Q13)</f>
        <v>0</v>
      </c>
      <c r="R35" s="46">
        <f>SUM($D13:R13)</f>
        <v>0</v>
      </c>
      <c r="S35" s="46">
        <f>SUM($D13:S13)</f>
        <v>0</v>
      </c>
      <c r="T35" s="46">
        <f>SUM($D13:T13)</f>
        <v>0</v>
      </c>
      <c r="U35" s="46">
        <f>SUM($D13:U13)</f>
        <v>60345</v>
      </c>
      <c r="V35" s="46">
        <f>SUM($D13:V13)</f>
        <v>149425</v>
      </c>
      <c r="W35" s="46">
        <f>SUM($D13:W13)</f>
        <v>235632</v>
      </c>
      <c r="X35" s="46">
        <f>SUM($D13:X13)</f>
        <v>324712</v>
      </c>
      <c r="Y35" s="46">
        <f>SUM($D13:Y13)</f>
        <v>410919</v>
      </c>
      <c r="Z35" s="46">
        <f>SUM($D13:Z13)</f>
        <v>499999</v>
      </c>
      <c r="AA35" s="46">
        <f>SUM($D13:AA13)</f>
        <v>589079</v>
      </c>
      <c r="AB35" s="46">
        <f>SUM($D13:AB13)</f>
        <v>669539</v>
      </c>
      <c r="AC35" s="46">
        <f>SUM($D13:AC13)</f>
        <v>758619</v>
      </c>
      <c r="AD35" s="46">
        <f>SUM($D13:AD13)</f>
        <v>844826</v>
      </c>
      <c r="AE35" s="46">
        <f>SUM($D13:AE13)</f>
        <v>933906</v>
      </c>
      <c r="AF35" s="151">
        <f>SUM($D13:AF13)</f>
        <v>999998</v>
      </c>
      <c r="AG35" s="125">
        <f>SUM($D13:AG13)</f>
        <v>999998</v>
      </c>
    </row>
    <row r="36" spans="1:34">
      <c r="A36" s="46" t="s">
        <v>220</v>
      </c>
      <c r="B36" s="134">
        <f t="shared" si="0"/>
        <v>12</v>
      </c>
      <c r="C36" s="46" t="s">
        <v>113</v>
      </c>
      <c r="D36" s="46">
        <f>SUM($D14:D14)</f>
        <v>0</v>
      </c>
      <c r="E36" s="46">
        <f>SUM($D14:E14)</f>
        <v>0</v>
      </c>
      <c r="F36" s="46">
        <f>SUM($D14:F14)</f>
        <v>0</v>
      </c>
      <c r="G36" s="46">
        <f>SUM($D14:G14)</f>
        <v>0</v>
      </c>
      <c r="H36" s="139">
        <f>SUM($D14:H14)</f>
        <v>0</v>
      </c>
      <c r="I36" s="46">
        <f>SUM($D14:I14)</f>
        <v>0</v>
      </c>
      <c r="J36" s="46">
        <f>SUM($D14:J14)</f>
        <v>0</v>
      </c>
      <c r="K36" s="46">
        <f>SUM($D14:K14)</f>
        <v>0</v>
      </c>
      <c r="L36" s="46">
        <f>SUM($D14:L14)</f>
        <v>0</v>
      </c>
      <c r="M36" s="46">
        <f>SUM($D14:M14)</f>
        <v>0</v>
      </c>
      <c r="N36" s="46">
        <f>SUM($D14:N14)</f>
        <v>0</v>
      </c>
      <c r="O36" s="46">
        <f>SUM($D14:O14)</f>
        <v>0</v>
      </c>
      <c r="P36" s="46">
        <f>SUM($D14:P14)</f>
        <v>0</v>
      </c>
      <c r="Q36" s="46">
        <f>SUM($D14:Q14)</f>
        <v>0</v>
      </c>
      <c r="R36" s="46">
        <f>SUM($D14:R14)</f>
        <v>0</v>
      </c>
      <c r="S36" s="46">
        <f>SUM($D14:S14)</f>
        <v>0</v>
      </c>
      <c r="T36" s="46">
        <f>SUM($D14:T14)</f>
        <v>0</v>
      </c>
      <c r="U36" s="46">
        <f>SUM($D14:U14)</f>
        <v>57478</v>
      </c>
      <c r="V36" s="46">
        <f>SUM($D14:V14)</f>
        <v>184751</v>
      </c>
      <c r="W36" s="46">
        <f>SUM($D14:W14)</f>
        <v>307918</v>
      </c>
      <c r="X36" s="46">
        <f>SUM($D14:X14)</f>
        <v>435191</v>
      </c>
      <c r="Y36" s="46">
        <f>SUM($D14:Y14)</f>
        <v>558358</v>
      </c>
      <c r="Z36" s="46">
        <f>SUM($D14:Z14)</f>
        <v>685631</v>
      </c>
      <c r="AA36" s="46">
        <f>SUM($D14:AA14)</f>
        <v>812904</v>
      </c>
      <c r="AB36" s="46">
        <f>SUM($D14:AB14)</f>
        <v>927860</v>
      </c>
      <c r="AC36" s="46">
        <f>SUM($D14:AC14)</f>
        <v>1055133</v>
      </c>
      <c r="AD36" s="46">
        <f>SUM($D14:AD14)</f>
        <v>1178300</v>
      </c>
      <c r="AE36" s="46">
        <f>SUM($D14:AE14)</f>
        <v>1305573</v>
      </c>
      <c r="AF36" s="151">
        <f>SUM($D14:AF14)</f>
        <v>1400001</v>
      </c>
      <c r="AG36" s="125">
        <f>SUM($D14:AG14)</f>
        <v>1400001</v>
      </c>
    </row>
    <row r="37" spans="1:34">
      <c r="A37" s="46" t="s">
        <v>221</v>
      </c>
      <c r="B37" s="138">
        <f t="shared" si="0"/>
        <v>13</v>
      </c>
      <c r="C37" s="48" t="s">
        <v>114</v>
      </c>
      <c r="D37" s="46">
        <f>SUM($D15:D15)</f>
        <v>0</v>
      </c>
      <c r="E37" s="46">
        <f>SUM($D15:E15)</f>
        <v>0</v>
      </c>
      <c r="F37" s="46">
        <f>SUM($D15:F15)</f>
        <v>0</v>
      </c>
      <c r="G37" s="46">
        <f>SUM($D15:G15)</f>
        <v>0</v>
      </c>
      <c r="H37" s="139">
        <f>SUM($D15:H15)</f>
        <v>0</v>
      </c>
      <c r="I37" s="46">
        <f>SUM($D15:I15)</f>
        <v>0</v>
      </c>
      <c r="J37" s="46">
        <f>SUM($D15:J15)</f>
        <v>0</v>
      </c>
      <c r="K37" s="46">
        <f>SUM($D15:K15)</f>
        <v>0</v>
      </c>
      <c r="L37" s="46">
        <f>SUM($D15:L15)</f>
        <v>0</v>
      </c>
      <c r="M37" s="46">
        <f>SUM($D15:M15)</f>
        <v>0</v>
      </c>
      <c r="N37" s="46">
        <f>SUM($D15:N15)</f>
        <v>0</v>
      </c>
      <c r="O37" s="46">
        <f>SUM($D15:O15)</f>
        <v>0</v>
      </c>
      <c r="P37" s="46">
        <f>SUM($D15:P15)</f>
        <v>0</v>
      </c>
      <c r="Q37" s="46">
        <f>SUM($D15:Q15)</f>
        <v>0</v>
      </c>
      <c r="R37" s="46">
        <f>SUM($D15:R15)</f>
        <v>0</v>
      </c>
      <c r="S37" s="46">
        <f>SUM($D15:S15)</f>
        <v>0</v>
      </c>
      <c r="T37" s="46">
        <f>SUM($D15:T15)</f>
        <v>0</v>
      </c>
      <c r="U37" s="46">
        <f>SUM($D15:U15)</f>
        <v>82345</v>
      </c>
      <c r="V37" s="46">
        <f>SUM($D15:V15)</f>
        <v>278706</v>
      </c>
      <c r="W37" s="46">
        <f>SUM($D15:W15)</f>
        <v>468733</v>
      </c>
      <c r="X37" s="46">
        <f>SUM($D15:X15)</f>
        <v>665094</v>
      </c>
      <c r="Y37" s="46">
        <f>SUM($D15:Y15)</f>
        <v>855121</v>
      </c>
      <c r="Z37" s="46">
        <f>SUM($D15:Z15)</f>
        <v>1051482</v>
      </c>
      <c r="AA37" s="46">
        <f>SUM($D15:AA15)</f>
        <v>1247843</v>
      </c>
      <c r="AB37" s="46">
        <f>SUM($D15:AB15)</f>
        <v>1425201</v>
      </c>
      <c r="AC37" s="46">
        <f>SUM($D15:AC15)</f>
        <v>1621562</v>
      </c>
      <c r="AD37" s="46">
        <f>SUM($D15:AD15)</f>
        <v>1811589</v>
      </c>
      <c r="AE37" s="46">
        <f>SUM($D15:AE15)</f>
        <v>2007950</v>
      </c>
      <c r="AF37" s="151">
        <f>SUM($D15:AF15)</f>
        <v>2197977</v>
      </c>
      <c r="AG37" s="125">
        <f>SUM($D15:AG15)</f>
        <v>2349999</v>
      </c>
    </row>
    <row r="38" spans="1:34">
      <c r="A38" s="46" t="s">
        <v>222</v>
      </c>
      <c r="B38" s="138">
        <f t="shared" si="0"/>
        <v>14</v>
      </c>
      <c r="C38" s="48" t="s">
        <v>115</v>
      </c>
      <c r="D38" s="46">
        <f>SUM($D16:D16)</f>
        <v>0</v>
      </c>
      <c r="E38" s="46">
        <f>SUM($D16:E16)</f>
        <v>0</v>
      </c>
      <c r="F38" s="46">
        <f>SUM($D16:F16)</f>
        <v>0</v>
      </c>
      <c r="G38" s="46">
        <f>SUM($D16:G16)</f>
        <v>0</v>
      </c>
      <c r="H38" s="139">
        <f>SUM($D16:H16)</f>
        <v>0</v>
      </c>
      <c r="I38" s="46">
        <f>SUM($D16:I16)</f>
        <v>0</v>
      </c>
      <c r="J38" s="46">
        <f>SUM($D16:J16)</f>
        <v>0</v>
      </c>
      <c r="K38" s="46">
        <f>SUM($D16:K16)</f>
        <v>0</v>
      </c>
      <c r="L38" s="46">
        <f>SUM($D16:L16)</f>
        <v>0</v>
      </c>
      <c r="M38" s="46">
        <f>SUM($D16:M16)</f>
        <v>0</v>
      </c>
      <c r="N38" s="46">
        <f>SUM($D16:N16)</f>
        <v>0</v>
      </c>
      <c r="O38" s="46">
        <f>SUM($D16:O16)</f>
        <v>0</v>
      </c>
      <c r="P38" s="46">
        <f>SUM($D16:P16)</f>
        <v>0</v>
      </c>
      <c r="Q38" s="46">
        <f>SUM($D16:Q16)</f>
        <v>0</v>
      </c>
      <c r="R38" s="46">
        <f>SUM($D16:R16)</f>
        <v>0</v>
      </c>
      <c r="S38" s="46">
        <f>SUM($D16:S16)</f>
        <v>0</v>
      </c>
      <c r="T38" s="46">
        <f>SUM($D16:T16)</f>
        <v>0</v>
      </c>
      <c r="U38" s="46">
        <f>SUM($D16:U16)</f>
        <v>82345</v>
      </c>
      <c r="V38" s="46">
        <f>SUM($D16:V16)</f>
        <v>278706</v>
      </c>
      <c r="W38" s="46">
        <f>SUM($D16:W16)</f>
        <v>468733</v>
      </c>
      <c r="X38" s="46">
        <f>SUM($D16:X16)</f>
        <v>665094</v>
      </c>
      <c r="Y38" s="46">
        <f>SUM($D16:Y16)</f>
        <v>855121</v>
      </c>
      <c r="Z38" s="46">
        <f>SUM($D16:Z16)</f>
        <v>1051482</v>
      </c>
      <c r="AA38" s="46">
        <f>SUM($D16:AA16)</f>
        <v>1247843</v>
      </c>
      <c r="AB38" s="46">
        <f>SUM($D16:AB16)</f>
        <v>1425201</v>
      </c>
      <c r="AC38" s="46">
        <f>SUM($D16:AC16)</f>
        <v>1621562</v>
      </c>
      <c r="AD38" s="46">
        <f>SUM($D16:AD16)</f>
        <v>1811589</v>
      </c>
      <c r="AE38" s="46">
        <f>SUM($D16:AE16)</f>
        <v>2007950</v>
      </c>
      <c r="AF38" s="151">
        <f>SUM($D16:AF16)</f>
        <v>2197977</v>
      </c>
      <c r="AG38" s="125">
        <f>SUM($D16:AG16)</f>
        <v>2349999</v>
      </c>
    </row>
    <row r="39" spans="1:34">
      <c r="A39" s="46" t="s">
        <v>223</v>
      </c>
      <c r="B39" s="138">
        <f t="shared" si="0"/>
        <v>15</v>
      </c>
      <c r="C39" s="48" t="s">
        <v>117</v>
      </c>
      <c r="D39" s="46">
        <f>SUM($D17:D17)</f>
        <v>0</v>
      </c>
      <c r="E39" s="46">
        <f>SUM($D17:E17)</f>
        <v>0</v>
      </c>
      <c r="F39" s="46">
        <f>SUM($D17:F17)</f>
        <v>0</v>
      </c>
      <c r="G39" s="46">
        <f>SUM($D17:G17)</f>
        <v>0</v>
      </c>
      <c r="H39" s="139">
        <f>SUM($D17:H17)</f>
        <v>0</v>
      </c>
      <c r="I39" s="46">
        <f>SUM($D17:I17)</f>
        <v>0</v>
      </c>
      <c r="J39" s="46">
        <f>SUM($D17:J17)</f>
        <v>0</v>
      </c>
      <c r="K39" s="46">
        <f>SUM($D17:K17)</f>
        <v>0</v>
      </c>
      <c r="L39" s="46">
        <f>SUM($D17:L17)</f>
        <v>0</v>
      </c>
      <c r="M39" s="46">
        <f>SUM($D17:M17)</f>
        <v>0</v>
      </c>
      <c r="N39" s="46">
        <f>SUM($D17:N17)</f>
        <v>0</v>
      </c>
      <c r="O39" s="46">
        <f>SUM($D17:O17)</f>
        <v>0</v>
      </c>
      <c r="P39" s="46">
        <f>SUM($D17:P17)</f>
        <v>0</v>
      </c>
      <c r="Q39" s="46">
        <f>SUM($D17:Q17)</f>
        <v>0</v>
      </c>
      <c r="R39" s="46">
        <f>SUM($D17:R17)</f>
        <v>0</v>
      </c>
      <c r="S39" s="46">
        <f>SUM($D17:S17)</f>
        <v>0</v>
      </c>
      <c r="T39" s="46">
        <f>SUM($D17:T17)</f>
        <v>0</v>
      </c>
      <c r="U39" s="46">
        <f>SUM($D17:U17)</f>
        <v>82345</v>
      </c>
      <c r="V39" s="46">
        <f>SUM($D17:V17)</f>
        <v>278706</v>
      </c>
      <c r="W39" s="46">
        <f>SUM($D17:W17)</f>
        <v>468733</v>
      </c>
      <c r="X39" s="46">
        <f>SUM($D17:X17)</f>
        <v>665094</v>
      </c>
      <c r="Y39" s="46">
        <f>SUM($D17:Y17)</f>
        <v>855121</v>
      </c>
      <c r="Z39" s="46">
        <f>SUM($D17:Z17)</f>
        <v>1051482</v>
      </c>
      <c r="AA39" s="46">
        <f>SUM($D17:AA17)</f>
        <v>1247843</v>
      </c>
      <c r="AB39" s="46">
        <f>SUM($D17:AB17)</f>
        <v>1425201</v>
      </c>
      <c r="AC39" s="46">
        <f>SUM($D17:AC17)</f>
        <v>1621562</v>
      </c>
      <c r="AD39" s="46">
        <f>SUM($D17:AD17)</f>
        <v>1811589</v>
      </c>
      <c r="AE39" s="46">
        <f>SUM($D17:AE17)</f>
        <v>2007950</v>
      </c>
      <c r="AF39" s="151">
        <f>SUM($D17:AF17)</f>
        <v>2197977</v>
      </c>
      <c r="AG39" s="125">
        <f>SUM($D17:AG17)</f>
        <v>2349999</v>
      </c>
    </row>
    <row r="40" spans="1:34">
      <c r="A40" s="46" t="s">
        <v>224</v>
      </c>
      <c r="B40" s="138">
        <f t="shared" si="0"/>
        <v>16</v>
      </c>
      <c r="C40" s="48" t="s">
        <v>116</v>
      </c>
      <c r="D40" s="46">
        <f>SUM($D18:D18)</f>
        <v>0</v>
      </c>
      <c r="E40" s="46">
        <f>SUM($D18:E18)</f>
        <v>0</v>
      </c>
      <c r="F40" s="46">
        <f>SUM($D18:F18)</f>
        <v>0</v>
      </c>
      <c r="G40" s="46">
        <f>SUM($D18:G18)</f>
        <v>0</v>
      </c>
      <c r="H40" s="139">
        <f>SUM($D18:H18)</f>
        <v>0</v>
      </c>
      <c r="I40" s="46">
        <f>SUM($D18:I18)</f>
        <v>0</v>
      </c>
      <c r="J40" s="46">
        <f>SUM($D18:J18)</f>
        <v>0</v>
      </c>
      <c r="K40" s="46">
        <f>SUM($D18:K18)</f>
        <v>0</v>
      </c>
      <c r="L40" s="46">
        <f>SUM($D18:L18)</f>
        <v>0</v>
      </c>
      <c r="M40" s="46">
        <f>SUM($D18:M18)</f>
        <v>0</v>
      </c>
      <c r="N40" s="46">
        <f>SUM($D18:N18)</f>
        <v>0</v>
      </c>
      <c r="O40" s="46">
        <f>SUM($D18:O18)</f>
        <v>0</v>
      </c>
      <c r="P40" s="46">
        <f>SUM($D18:P18)</f>
        <v>0</v>
      </c>
      <c r="Q40" s="46">
        <f>SUM($D18:Q18)</f>
        <v>0</v>
      </c>
      <c r="R40" s="46">
        <f>SUM($D18:R18)</f>
        <v>0</v>
      </c>
      <c r="S40" s="46">
        <f>SUM($D18:S18)</f>
        <v>0</v>
      </c>
      <c r="T40" s="46">
        <f>SUM($D18:T18)</f>
        <v>0</v>
      </c>
      <c r="U40" s="46">
        <f>SUM($D18:U18)</f>
        <v>82345</v>
      </c>
      <c r="V40" s="46">
        <f>SUM($D18:V18)</f>
        <v>278706</v>
      </c>
      <c r="W40" s="46">
        <f>SUM($D18:W18)</f>
        <v>468733</v>
      </c>
      <c r="X40" s="46">
        <f>SUM($D18:X18)</f>
        <v>665094</v>
      </c>
      <c r="Y40" s="46">
        <f>SUM($D18:Y18)</f>
        <v>855121</v>
      </c>
      <c r="Z40" s="46">
        <f>SUM($D18:Z18)</f>
        <v>1051482</v>
      </c>
      <c r="AA40" s="46">
        <f>SUM($D18:AA18)</f>
        <v>1247843</v>
      </c>
      <c r="AB40" s="46">
        <f>SUM($D18:AB18)</f>
        <v>1425201</v>
      </c>
      <c r="AC40" s="46">
        <f>SUM($D18:AC18)</f>
        <v>1621562</v>
      </c>
      <c r="AD40" s="46">
        <f>SUM($D18:AD18)</f>
        <v>1811589</v>
      </c>
      <c r="AE40" s="46">
        <f>SUM($D18:AE18)</f>
        <v>2007950</v>
      </c>
      <c r="AF40" s="151">
        <f>SUM($D18:AF18)</f>
        <v>2197977</v>
      </c>
      <c r="AG40" s="125">
        <f>SUM($D18:AG18)</f>
        <v>2349999</v>
      </c>
    </row>
    <row r="41" spans="1:34">
      <c r="A41" s="46" t="s">
        <v>225</v>
      </c>
      <c r="B41" s="134">
        <f t="shared" si="0"/>
        <v>17</v>
      </c>
      <c r="C41" s="46" t="s">
        <v>198</v>
      </c>
      <c r="D41" s="46">
        <f>SUM($D19:D19)</f>
        <v>0</v>
      </c>
      <c r="E41" s="46">
        <f>SUM($D19:E19)</f>
        <v>0</v>
      </c>
      <c r="F41" s="46">
        <f>SUM($D19:F19)</f>
        <v>0</v>
      </c>
      <c r="G41" s="46">
        <f>SUM($D19:G19)</f>
        <v>0</v>
      </c>
      <c r="H41" s="139">
        <f>SUM($D19:H19)</f>
        <v>0</v>
      </c>
      <c r="I41" s="46">
        <f>SUM($D19:I19)</f>
        <v>0</v>
      </c>
      <c r="J41" s="46">
        <f>SUM($D19:J19)</f>
        <v>0</v>
      </c>
      <c r="K41" s="46">
        <f>SUM($D19:K19)</f>
        <v>0</v>
      </c>
      <c r="L41" s="46">
        <f>SUM($D19:L19)</f>
        <v>0</v>
      </c>
      <c r="M41" s="46">
        <f>SUM($D19:M19)</f>
        <v>0</v>
      </c>
      <c r="N41" s="46">
        <f>SUM($D19:N19)</f>
        <v>0</v>
      </c>
      <c r="O41" s="46">
        <f>SUM($D19:O19)</f>
        <v>0</v>
      </c>
      <c r="P41" s="46">
        <f>SUM($D19:P19)</f>
        <v>0</v>
      </c>
      <c r="Q41" s="46">
        <f>SUM($D19:Q19)</f>
        <v>0</v>
      </c>
      <c r="R41" s="46">
        <f>SUM($D19:R19)</f>
        <v>0</v>
      </c>
      <c r="S41" s="46">
        <f>SUM($D19:S19)</f>
        <v>0</v>
      </c>
      <c r="T41" s="46">
        <f>SUM($D19:T19)</f>
        <v>0</v>
      </c>
      <c r="U41" s="46">
        <f>SUM($D19:U19)</f>
        <v>0</v>
      </c>
      <c r="V41" s="46">
        <f>SUM($D19:V19)</f>
        <v>141250</v>
      </c>
      <c r="W41" s="46">
        <f>SUM($D19:W19)</f>
        <v>310750</v>
      </c>
      <c r="X41" s="46">
        <f>SUM($D19:X19)</f>
        <v>485900</v>
      </c>
      <c r="Y41" s="46">
        <f>SUM($D19:Y19)</f>
        <v>655400</v>
      </c>
      <c r="Z41" s="46">
        <f>SUM($D19:Z19)</f>
        <v>830550</v>
      </c>
      <c r="AA41" s="46">
        <f>SUM($D19:AA19)</f>
        <v>1005700</v>
      </c>
      <c r="AB41" s="46">
        <f>SUM($D19:AB19)</f>
        <v>1130000</v>
      </c>
      <c r="AC41" s="46">
        <f>SUM($D19:AC19)</f>
        <v>1130000</v>
      </c>
      <c r="AD41" s="46">
        <f>SUM($D19:AD19)</f>
        <v>1130000</v>
      </c>
      <c r="AE41" s="46">
        <f>SUM($D19:AE19)</f>
        <v>1130000</v>
      </c>
      <c r="AF41" s="151">
        <f>SUM($D19:AF19)</f>
        <v>1130000</v>
      </c>
      <c r="AG41" s="125">
        <f>SUM($D19:AG19)</f>
        <v>1130000</v>
      </c>
    </row>
    <row r="42" spans="1:34">
      <c r="A42" s="46" t="s">
        <v>226</v>
      </c>
      <c r="B42" s="134">
        <f t="shared" si="0"/>
        <v>18</v>
      </c>
      <c r="C42" s="46" t="s">
        <v>118</v>
      </c>
      <c r="D42" s="46">
        <f>SUM($D20:D20)</f>
        <v>0</v>
      </c>
      <c r="E42" s="46">
        <f>SUM($D20:E20)</f>
        <v>0</v>
      </c>
      <c r="F42" s="46">
        <f>SUM($D20:F20)</f>
        <v>0</v>
      </c>
      <c r="G42" s="46">
        <f>SUM($D20:G20)</f>
        <v>0</v>
      </c>
      <c r="H42" s="139">
        <f>SUM($D20:H20)</f>
        <v>0</v>
      </c>
      <c r="I42" s="46">
        <f>SUM($D20:I20)</f>
        <v>0</v>
      </c>
      <c r="J42" s="46">
        <f>SUM($D20:J20)</f>
        <v>0</v>
      </c>
      <c r="K42" s="46">
        <f>SUM($D20:K20)</f>
        <v>0</v>
      </c>
      <c r="L42" s="46">
        <f>SUM($D20:L20)</f>
        <v>0</v>
      </c>
      <c r="M42" s="46">
        <f>SUM($D20:M20)</f>
        <v>0</v>
      </c>
      <c r="N42" s="46">
        <f>SUM($D20:N20)</f>
        <v>0</v>
      </c>
      <c r="O42" s="46">
        <f>SUM($D20:O20)</f>
        <v>0</v>
      </c>
      <c r="P42" s="46">
        <f>SUM($D20:P20)</f>
        <v>0</v>
      </c>
      <c r="Q42" s="46">
        <f>SUM($D20:Q20)</f>
        <v>0</v>
      </c>
      <c r="R42" s="46">
        <f>SUM($D20:R20)</f>
        <v>0</v>
      </c>
      <c r="S42" s="46">
        <f>SUM($D20:S20)</f>
        <v>0</v>
      </c>
      <c r="T42" s="46">
        <f>SUM($D20:T20)</f>
        <v>0</v>
      </c>
      <c r="U42" s="46">
        <f>SUM($D20:U20)</f>
        <v>0</v>
      </c>
      <c r="V42" s="46">
        <f>SUM($D20:V20)</f>
        <v>0</v>
      </c>
      <c r="W42" s="46">
        <f>SUM($D20:W20)</f>
        <v>0</v>
      </c>
      <c r="X42" s="46">
        <f>SUM($D20:X20)</f>
        <v>0</v>
      </c>
      <c r="Y42" s="46">
        <f>SUM($D20:Y20)</f>
        <v>0</v>
      </c>
      <c r="Z42" s="46">
        <f>SUM($D20:Z20)</f>
        <v>0</v>
      </c>
      <c r="AA42" s="46">
        <f>SUM($D20:AA20)</f>
        <v>0</v>
      </c>
      <c r="AB42" s="46">
        <f>SUM($D20:AB20)</f>
        <v>632022</v>
      </c>
      <c r="AC42" s="46">
        <f>SUM($D20:AC20)</f>
        <v>1415730</v>
      </c>
      <c r="AD42" s="46">
        <f>SUM($D20:AD20)</f>
        <v>2174157</v>
      </c>
      <c r="AE42" s="46">
        <f>SUM($D20:AE20)</f>
        <v>2957865</v>
      </c>
      <c r="AF42" s="151">
        <f>SUM($D20:AF20)</f>
        <v>3716292</v>
      </c>
      <c r="AG42" s="125">
        <f>SUM($D20:AG20)</f>
        <v>4500000</v>
      </c>
    </row>
    <row r="43" spans="1:34">
      <c r="A43" s="46" t="s">
        <v>227</v>
      </c>
      <c r="B43" s="134">
        <f t="shared" si="0"/>
        <v>19</v>
      </c>
      <c r="C43" s="46" t="s">
        <v>194</v>
      </c>
      <c r="D43" s="46">
        <f>SUM($D21:D21)</f>
        <v>0</v>
      </c>
      <c r="E43" s="46">
        <f>SUM($D21:E21)</f>
        <v>0</v>
      </c>
      <c r="F43" s="46">
        <f>SUM($D21:F21)</f>
        <v>0</v>
      </c>
      <c r="G43" s="46">
        <f>SUM($D21:G21)</f>
        <v>0</v>
      </c>
      <c r="H43" s="139">
        <f>SUM($D21:H21)</f>
        <v>0</v>
      </c>
      <c r="I43" s="46">
        <f>SUM($D21:I21)</f>
        <v>0</v>
      </c>
      <c r="J43" s="46">
        <f>SUM($D21:J21)</f>
        <v>0</v>
      </c>
      <c r="K43" s="46">
        <f>SUM($D21:K21)</f>
        <v>0</v>
      </c>
      <c r="L43" s="46">
        <f>SUM($D21:L21)</f>
        <v>0</v>
      </c>
      <c r="M43" s="46">
        <f>SUM($D21:M21)</f>
        <v>0</v>
      </c>
      <c r="N43" s="46">
        <f>SUM($D21:N21)</f>
        <v>0</v>
      </c>
      <c r="O43" s="46">
        <f>SUM($D21:O21)</f>
        <v>0</v>
      </c>
      <c r="P43" s="46">
        <f>SUM($D21:P21)</f>
        <v>0</v>
      </c>
      <c r="Q43" s="46">
        <f>SUM($D21:Q21)</f>
        <v>0</v>
      </c>
      <c r="R43" s="46">
        <f>SUM($D21:R21)</f>
        <v>0</v>
      </c>
      <c r="S43" s="46">
        <f>SUM($D21:S21)</f>
        <v>0</v>
      </c>
      <c r="T43" s="46">
        <f>SUM($D21:T21)</f>
        <v>0</v>
      </c>
      <c r="U43" s="46">
        <f>SUM($D21:U21)</f>
        <v>0</v>
      </c>
      <c r="V43" s="46">
        <f>SUM($D21:V21)</f>
        <v>0</v>
      </c>
      <c r="W43" s="46">
        <f>SUM($D21:W21)</f>
        <v>0</v>
      </c>
      <c r="X43" s="46">
        <f>SUM($D21:X21)</f>
        <v>0</v>
      </c>
      <c r="Y43" s="46">
        <f>SUM($D21:Y21)</f>
        <v>0</v>
      </c>
      <c r="Z43" s="46">
        <f>SUM($D21:Z21)</f>
        <v>0</v>
      </c>
      <c r="AA43" s="46">
        <f>SUM($D21:AA21)</f>
        <v>0</v>
      </c>
      <c r="AB43" s="46">
        <f>SUM($D21:AB21)</f>
        <v>0</v>
      </c>
      <c r="AC43" s="46">
        <f>SUM($D21:AC21)</f>
        <v>0</v>
      </c>
      <c r="AD43" s="46">
        <f>SUM($D21:AD21)</f>
        <v>0</v>
      </c>
      <c r="AE43" s="46">
        <f>SUM($D21:AE21)</f>
        <v>0</v>
      </c>
      <c r="AF43" s="151">
        <f>SUM($D21:AF21)</f>
        <v>0</v>
      </c>
      <c r="AG43" s="125">
        <f>SUM($D21:AG21)</f>
        <v>1000000</v>
      </c>
    </row>
    <row r="46" spans="1:34">
      <c r="A46" s="129" t="s">
        <v>241</v>
      </c>
      <c r="B46" s="135" t="s">
        <v>11</v>
      </c>
    </row>
    <row r="47" spans="1:34" s="130" customFormat="1">
      <c r="A47" s="130" t="s">
        <v>7</v>
      </c>
      <c r="B47" s="136">
        <v>1</v>
      </c>
      <c r="C47" s="130" t="s">
        <v>8</v>
      </c>
      <c r="D47" s="131">
        <v>42767</v>
      </c>
      <c r="E47" s="131">
        <v>42795</v>
      </c>
      <c r="F47" s="131">
        <v>42826</v>
      </c>
      <c r="G47" s="131">
        <v>42856</v>
      </c>
      <c r="H47" s="140">
        <v>42887</v>
      </c>
      <c r="I47" s="131">
        <v>42917</v>
      </c>
      <c r="J47" s="131">
        <v>42948</v>
      </c>
      <c r="K47" s="131">
        <v>42979</v>
      </c>
      <c r="L47" s="131">
        <v>43009</v>
      </c>
      <c r="M47" s="131">
        <v>43040</v>
      </c>
      <c r="N47" s="131">
        <v>43070</v>
      </c>
      <c r="O47" s="131">
        <v>43101</v>
      </c>
      <c r="P47" s="131">
        <v>43132</v>
      </c>
      <c r="Q47" s="131">
        <v>43160</v>
      </c>
      <c r="R47" s="131">
        <v>43191</v>
      </c>
      <c r="S47" s="131">
        <v>43221</v>
      </c>
      <c r="T47" s="131">
        <v>43252</v>
      </c>
      <c r="U47" s="131">
        <v>43282</v>
      </c>
      <c r="V47" s="131">
        <v>43313</v>
      </c>
      <c r="W47" s="131">
        <v>43344</v>
      </c>
      <c r="X47" s="131">
        <v>43374</v>
      </c>
      <c r="Y47" s="131">
        <v>43405</v>
      </c>
      <c r="Z47" s="131">
        <v>43435</v>
      </c>
      <c r="AA47" s="131">
        <v>43466</v>
      </c>
      <c r="AB47" s="131">
        <v>43497</v>
      </c>
      <c r="AC47" s="131">
        <v>43525</v>
      </c>
      <c r="AD47" s="131">
        <v>43556</v>
      </c>
      <c r="AE47" s="131">
        <v>43586</v>
      </c>
      <c r="AF47" s="152">
        <v>43617</v>
      </c>
      <c r="AG47" s="174">
        <v>43647</v>
      </c>
      <c r="AH47" s="131">
        <v>43678</v>
      </c>
    </row>
    <row r="48" spans="1:34" s="130" customFormat="1">
      <c r="A48" s="130" t="s">
        <v>3</v>
      </c>
      <c r="B48" s="138">
        <f>B47+1</f>
        <v>2</v>
      </c>
      <c r="D48" s="175">
        <f>D26/$AG$26</f>
        <v>8.3179234953544012E-3</v>
      </c>
      <c r="E48" s="175">
        <f t="shared" ref="E48:AG57" si="1">E26/$AG$26</f>
        <v>2.7240824407191711E-2</v>
      </c>
      <c r="F48" s="175">
        <f t="shared" si="1"/>
        <v>4.6161251821193093E-2</v>
      </c>
      <c r="G48" s="175">
        <f t="shared" si="1"/>
        <v>6.0797484613317604E-2</v>
      </c>
      <c r="H48" s="175">
        <f t="shared" si="1"/>
        <v>7.4256942779161131E-2</v>
      </c>
      <c r="I48" s="175">
        <f t="shared" si="1"/>
        <v>8.8165067753763607E-2</v>
      </c>
      <c r="J48" s="175">
        <f t="shared" si="1"/>
        <v>0.10207319272836608</v>
      </c>
      <c r="K48" s="175">
        <f t="shared" si="1"/>
        <v>0.11553265089420962</v>
      </c>
      <c r="L48" s="175">
        <f t="shared" si="1"/>
        <v>0.12818536328535765</v>
      </c>
      <c r="M48" s="175">
        <f t="shared" si="1"/>
        <v>0.13850633817758784</v>
      </c>
      <c r="N48" s="175">
        <f t="shared" si="1"/>
        <v>0.14917135413245194</v>
      </c>
      <c r="O48" s="175">
        <f t="shared" si="1"/>
        <v>0.15983637008731608</v>
      </c>
      <c r="P48" s="175">
        <f t="shared" si="1"/>
        <v>0.16863142167821688</v>
      </c>
      <c r="Q48" s="175">
        <f t="shared" si="1"/>
        <v>0.17836881169791011</v>
      </c>
      <c r="R48" s="175">
        <f t="shared" si="1"/>
        <v>0.18779209961578869</v>
      </c>
      <c r="S48" s="175">
        <f t="shared" si="1"/>
        <v>0.19752948963548192</v>
      </c>
      <c r="T48" s="175">
        <f t="shared" si="1"/>
        <v>0.2069527775533605</v>
      </c>
      <c r="U48" s="175">
        <f t="shared" si="1"/>
        <v>0.24433741658570243</v>
      </c>
      <c r="V48" s="175">
        <f t="shared" si="1"/>
        <v>0.29957219730610385</v>
      </c>
      <c r="W48" s="175">
        <f t="shared" si="1"/>
        <v>0.35407906294907437</v>
      </c>
      <c r="X48" s="175">
        <f t="shared" si="1"/>
        <v>0.41040282518425553</v>
      </c>
      <c r="Y48" s="175">
        <f t="shared" si="1"/>
        <v>0.464909690827226</v>
      </c>
      <c r="Z48" s="175">
        <f t="shared" si="1"/>
        <v>0.5212334530624072</v>
      </c>
      <c r="AA48" s="175">
        <f t="shared" si="1"/>
        <v>0.5775572152975883</v>
      </c>
      <c r="AB48" s="175">
        <f t="shared" si="1"/>
        <v>0.64764396921876499</v>
      </c>
      <c r="AC48" s="175">
        <f t="shared" si="1"/>
        <v>0.72351665218171346</v>
      </c>
      <c r="AD48" s="175">
        <f t="shared" si="1"/>
        <v>0.79694182509768308</v>
      </c>
      <c r="AE48" s="175">
        <f t="shared" si="1"/>
        <v>0.86923069880650516</v>
      </c>
      <c r="AF48" s="175">
        <f t="shared" si="1"/>
        <v>0.92316756775336206</v>
      </c>
      <c r="AG48" s="175">
        <f t="shared" si="1"/>
        <v>1</v>
      </c>
    </row>
    <row r="49" spans="1:33">
      <c r="A49" s="46" t="s">
        <v>211</v>
      </c>
      <c r="B49" s="134">
        <f t="shared" ref="B49:B65" si="2">B48+1</f>
        <v>3</v>
      </c>
      <c r="C49" s="173" t="s">
        <v>167</v>
      </c>
      <c r="D49" s="176">
        <f t="shared" ref="D49:S65" si="3">D27/$AG$26</f>
        <v>2.9292639047118689E-3</v>
      </c>
      <c r="E49" s="176">
        <f t="shared" si="3"/>
        <v>6.172372924450221E-3</v>
      </c>
      <c r="F49" s="176">
        <f t="shared" si="3"/>
        <v>9.3108561980635718E-3</v>
      </c>
      <c r="G49" s="176">
        <f t="shared" si="3"/>
        <v>1.2553965217801924E-2</v>
      </c>
      <c r="H49" s="176">
        <f t="shared" si="3"/>
        <v>1.5692448491415278E-2</v>
      </c>
      <c r="I49" s="176">
        <f t="shared" si="3"/>
        <v>1.8935557511153629E-2</v>
      </c>
      <c r="J49" s="176">
        <f t="shared" si="3"/>
        <v>2.2178666530891979E-2</v>
      </c>
      <c r="K49" s="176">
        <f t="shared" si="3"/>
        <v>2.5317149804505331E-2</v>
      </c>
      <c r="L49" s="176">
        <f t="shared" si="3"/>
        <v>2.7304846240789233E-2</v>
      </c>
      <c r="M49" s="176">
        <f t="shared" si="3"/>
        <v>2.7304846240789233E-2</v>
      </c>
      <c r="N49" s="176">
        <f t="shared" si="3"/>
        <v>2.7304846240789233E-2</v>
      </c>
      <c r="O49" s="176">
        <f t="shared" si="3"/>
        <v>2.7304846240789233E-2</v>
      </c>
      <c r="P49" s="176">
        <f t="shared" si="3"/>
        <v>2.7304846240789233E-2</v>
      </c>
      <c r="Q49" s="176">
        <f t="shared" si="3"/>
        <v>2.7304846240789233E-2</v>
      </c>
      <c r="R49" s="176">
        <f t="shared" si="3"/>
        <v>2.7304846240789233E-2</v>
      </c>
      <c r="S49" s="176">
        <f t="shared" si="3"/>
        <v>2.7304846240789233E-2</v>
      </c>
      <c r="T49" s="176">
        <f t="shared" si="1"/>
        <v>2.7304846240789233E-2</v>
      </c>
      <c r="U49" s="176">
        <f t="shared" si="1"/>
        <v>2.7304846240789233E-2</v>
      </c>
      <c r="V49" s="176">
        <f t="shared" si="1"/>
        <v>2.7304846240789233E-2</v>
      </c>
      <c r="W49" s="176">
        <f t="shared" si="1"/>
        <v>2.7304846240789233E-2</v>
      </c>
      <c r="X49" s="176">
        <f t="shared" si="1"/>
        <v>2.7304846240789233E-2</v>
      </c>
      <c r="Y49" s="176">
        <f t="shared" si="1"/>
        <v>2.7304846240789233E-2</v>
      </c>
      <c r="Z49" s="176">
        <f t="shared" si="1"/>
        <v>2.7304846240789233E-2</v>
      </c>
      <c r="AA49" s="176">
        <f t="shared" si="1"/>
        <v>2.7304846240789233E-2</v>
      </c>
      <c r="AB49" s="176">
        <f t="shared" si="1"/>
        <v>2.7304846240789233E-2</v>
      </c>
      <c r="AC49" s="176">
        <f t="shared" si="1"/>
        <v>2.7304846240789233E-2</v>
      </c>
      <c r="AD49" s="176">
        <f t="shared" si="1"/>
        <v>2.7304846240789233E-2</v>
      </c>
      <c r="AE49" s="176">
        <f t="shared" si="1"/>
        <v>2.7304846240789233E-2</v>
      </c>
      <c r="AF49" s="176">
        <f t="shared" si="1"/>
        <v>2.7304846240789233E-2</v>
      </c>
      <c r="AG49" s="176">
        <f t="shared" si="1"/>
        <v>2.7304846240789233E-2</v>
      </c>
    </row>
    <row r="50" spans="1:33">
      <c r="A50" s="46" t="s">
        <v>212</v>
      </c>
      <c r="B50" s="134">
        <f t="shared" si="2"/>
        <v>4</v>
      </c>
      <c r="C50" s="46" t="s">
        <v>101</v>
      </c>
      <c r="D50" s="176">
        <f t="shared" si="3"/>
        <v>4.5508184145810447E-3</v>
      </c>
      <c r="E50" s="176">
        <f t="shared" si="1"/>
        <v>1.0193830678793659E-2</v>
      </c>
      <c r="F50" s="176">
        <f t="shared" si="1"/>
        <v>1.5654799926951506E-2</v>
      </c>
      <c r="G50" s="176">
        <f t="shared" si="1"/>
        <v>1.6382939867822056E-2</v>
      </c>
      <c r="H50" s="176">
        <f t="shared" si="1"/>
        <v>1.6382939867822056E-2</v>
      </c>
      <c r="I50" s="176">
        <f t="shared" si="1"/>
        <v>1.6382939867822056E-2</v>
      </c>
      <c r="J50" s="176">
        <f t="shared" si="1"/>
        <v>1.6382939867822056E-2</v>
      </c>
      <c r="K50" s="176">
        <f t="shared" si="1"/>
        <v>1.6382939867822056E-2</v>
      </c>
      <c r="L50" s="176">
        <f t="shared" si="1"/>
        <v>1.6382939867822056E-2</v>
      </c>
      <c r="M50" s="176">
        <f t="shared" si="1"/>
        <v>1.6382939867822056E-2</v>
      </c>
      <c r="N50" s="176">
        <f t="shared" si="1"/>
        <v>1.6382939867822056E-2</v>
      </c>
      <c r="O50" s="176">
        <f t="shared" si="1"/>
        <v>1.6382939867822056E-2</v>
      </c>
      <c r="P50" s="176">
        <f t="shared" si="1"/>
        <v>1.6382939867822056E-2</v>
      </c>
      <c r="Q50" s="176">
        <f t="shared" si="1"/>
        <v>1.6382939867822056E-2</v>
      </c>
      <c r="R50" s="176">
        <f t="shared" si="1"/>
        <v>1.6382939867822056E-2</v>
      </c>
      <c r="S50" s="176">
        <f t="shared" si="1"/>
        <v>1.6382939867822056E-2</v>
      </c>
      <c r="T50" s="176">
        <f t="shared" si="1"/>
        <v>1.6382939867822056E-2</v>
      </c>
      <c r="U50" s="176">
        <f t="shared" si="1"/>
        <v>1.6382939867822056E-2</v>
      </c>
      <c r="V50" s="176">
        <f t="shared" si="1"/>
        <v>1.6382939867822056E-2</v>
      </c>
      <c r="W50" s="176">
        <f t="shared" si="1"/>
        <v>1.6382939867822056E-2</v>
      </c>
      <c r="X50" s="176">
        <f t="shared" si="1"/>
        <v>1.6382939867822056E-2</v>
      </c>
      <c r="Y50" s="176">
        <f t="shared" si="1"/>
        <v>1.6382939867822056E-2</v>
      </c>
      <c r="Z50" s="176">
        <f t="shared" si="1"/>
        <v>1.6382939867822056E-2</v>
      </c>
      <c r="AA50" s="176">
        <f t="shared" si="1"/>
        <v>1.6382939867822056E-2</v>
      </c>
      <c r="AB50" s="176">
        <f t="shared" si="1"/>
        <v>1.6382939867822056E-2</v>
      </c>
      <c r="AC50" s="176">
        <f t="shared" si="1"/>
        <v>1.6382939867822056E-2</v>
      </c>
      <c r="AD50" s="176">
        <f t="shared" si="1"/>
        <v>1.6382939867822056E-2</v>
      </c>
      <c r="AE50" s="176">
        <f t="shared" si="1"/>
        <v>1.6382939867822056E-2</v>
      </c>
      <c r="AF50" s="176">
        <f t="shared" si="1"/>
        <v>1.6382939867822056E-2</v>
      </c>
      <c r="AG50" s="176">
        <f t="shared" si="1"/>
        <v>1.6382939867822056E-2</v>
      </c>
    </row>
    <row r="51" spans="1:33">
      <c r="A51" s="46" t="s">
        <v>213</v>
      </c>
      <c r="B51" s="134">
        <f t="shared" si="2"/>
        <v>5</v>
      </c>
      <c r="C51" s="46" t="s">
        <v>172</v>
      </c>
      <c r="D51" s="176">
        <f t="shared" si="3"/>
        <v>0</v>
      </c>
      <c r="E51" s="176">
        <f t="shared" si="1"/>
        <v>6.3310943894805032E-3</v>
      </c>
      <c r="F51" s="176">
        <f t="shared" si="1"/>
        <v>1.2880499055493246E-2</v>
      </c>
      <c r="G51" s="176">
        <f t="shared" si="1"/>
        <v>1.9648246121386746E-2</v>
      </c>
      <c r="H51" s="176">
        <f t="shared" si="1"/>
        <v>2.6197650787399489E-2</v>
      </c>
      <c r="I51" s="176">
        <f t="shared" si="1"/>
        <v>3.2965397853292985E-2</v>
      </c>
      <c r="J51" s="176">
        <f t="shared" si="1"/>
        <v>3.9733144919186489E-2</v>
      </c>
      <c r="K51" s="176">
        <f t="shared" si="1"/>
        <v>4.6282549585199229E-2</v>
      </c>
      <c r="L51" s="176">
        <f t="shared" si="1"/>
        <v>5.3050296651092732E-2</v>
      </c>
      <c r="M51" s="176">
        <f t="shared" si="1"/>
        <v>5.9599701317105472E-2</v>
      </c>
      <c r="N51" s="176">
        <f t="shared" si="1"/>
        <v>6.6367448382998975E-2</v>
      </c>
      <c r="O51" s="176">
        <f t="shared" si="1"/>
        <v>7.3135195448892479E-2</v>
      </c>
      <c r="P51" s="176">
        <f t="shared" si="1"/>
        <v>7.9247979561840737E-2</v>
      </c>
      <c r="Q51" s="176">
        <f t="shared" si="1"/>
        <v>8.601572662773424E-2</v>
      </c>
      <c r="R51" s="176">
        <f t="shared" si="1"/>
        <v>9.256513129374698E-2</v>
      </c>
      <c r="S51" s="176">
        <f t="shared" si="1"/>
        <v>9.9332878359640484E-2</v>
      </c>
      <c r="T51" s="176">
        <f t="shared" si="1"/>
        <v>0.10588228302565322</v>
      </c>
      <c r="U51" s="176">
        <f t="shared" si="1"/>
        <v>0.11243168769166596</v>
      </c>
      <c r="V51" s="176">
        <f t="shared" si="1"/>
        <v>0.11243168769166596</v>
      </c>
      <c r="W51" s="176">
        <f t="shared" si="1"/>
        <v>0.11243168769166596</v>
      </c>
      <c r="X51" s="176">
        <f t="shared" si="1"/>
        <v>0.11243168769166596</v>
      </c>
      <c r="Y51" s="176">
        <f t="shared" si="1"/>
        <v>0.11243168769166596</v>
      </c>
      <c r="Z51" s="176">
        <f t="shared" si="1"/>
        <v>0.11243168769166596</v>
      </c>
      <c r="AA51" s="176">
        <f t="shared" si="1"/>
        <v>0.11243168769166596</v>
      </c>
      <c r="AB51" s="176">
        <f t="shared" si="1"/>
        <v>0.11243168769166596</v>
      </c>
      <c r="AC51" s="176">
        <f t="shared" si="1"/>
        <v>0.11243168769166596</v>
      </c>
      <c r="AD51" s="176">
        <f t="shared" si="1"/>
        <v>0.11243168769166596</v>
      </c>
      <c r="AE51" s="176">
        <f t="shared" si="1"/>
        <v>0.11243168769166596</v>
      </c>
      <c r="AF51" s="176">
        <f t="shared" si="1"/>
        <v>0.11243168769166596</v>
      </c>
      <c r="AG51" s="176">
        <f t="shared" si="1"/>
        <v>0.11243168769166596</v>
      </c>
    </row>
    <row r="52" spans="1:33">
      <c r="A52" s="46" t="s">
        <v>214</v>
      </c>
      <c r="B52" s="134">
        <f t="shared" si="2"/>
        <v>6</v>
      </c>
      <c r="C52" s="46" t="s">
        <v>174</v>
      </c>
      <c r="D52" s="176">
        <f t="shared" si="3"/>
        <v>0</v>
      </c>
      <c r="E52" s="176">
        <f t="shared" si="1"/>
        <v>2.7780593032349335E-3</v>
      </c>
      <c r="F52" s="176">
        <f t="shared" si="1"/>
        <v>5.6519104317522594E-3</v>
      </c>
      <c r="G52" s="176">
        <f t="shared" si="1"/>
        <v>8.621553385551978E-3</v>
      </c>
      <c r="H52" s="176">
        <f t="shared" si="1"/>
        <v>1.1495404514069303E-2</v>
      </c>
      <c r="I52" s="176">
        <f t="shared" si="1"/>
        <v>1.4465047467869023E-2</v>
      </c>
      <c r="J52" s="176">
        <f t="shared" si="1"/>
        <v>1.7434690421668741E-2</v>
      </c>
      <c r="K52" s="176">
        <f t="shared" si="1"/>
        <v>2.0308541550186066E-2</v>
      </c>
      <c r="L52" s="176">
        <f t="shared" si="1"/>
        <v>2.3278184503985784E-2</v>
      </c>
      <c r="M52" s="176">
        <f t="shared" si="1"/>
        <v>2.6152035632503109E-2</v>
      </c>
      <c r="N52" s="176">
        <f t="shared" si="1"/>
        <v>2.9121678586302831E-2</v>
      </c>
      <c r="O52" s="176">
        <f t="shared" si="1"/>
        <v>3.2091321540102545E-2</v>
      </c>
      <c r="P52" s="176">
        <f t="shared" si="1"/>
        <v>3.4773589018055086E-2</v>
      </c>
      <c r="Q52" s="176">
        <f t="shared" si="1"/>
        <v>3.7743231971854807E-2</v>
      </c>
      <c r="R52" s="176">
        <f t="shared" si="1"/>
        <v>4.0617083100372132E-2</v>
      </c>
      <c r="S52" s="176">
        <f t="shared" si="1"/>
        <v>4.3586726054171854E-2</v>
      </c>
      <c r="T52" s="176">
        <f t="shared" si="1"/>
        <v>4.6460577182689179E-2</v>
      </c>
      <c r="U52" s="176">
        <f t="shared" si="1"/>
        <v>4.8184894284469273E-2</v>
      </c>
      <c r="V52" s="176">
        <f t="shared" si="1"/>
        <v>4.8184894284469273E-2</v>
      </c>
      <c r="W52" s="176">
        <f t="shared" si="1"/>
        <v>4.8184894284469273E-2</v>
      </c>
      <c r="X52" s="176">
        <f t="shared" si="1"/>
        <v>4.8184894284469273E-2</v>
      </c>
      <c r="Y52" s="176">
        <f t="shared" si="1"/>
        <v>4.8184894284469273E-2</v>
      </c>
      <c r="Z52" s="176">
        <f t="shared" si="1"/>
        <v>4.8184894284469273E-2</v>
      </c>
      <c r="AA52" s="176">
        <f t="shared" si="1"/>
        <v>4.8184894284469273E-2</v>
      </c>
      <c r="AB52" s="176">
        <f t="shared" si="1"/>
        <v>4.8184894284469273E-2</v>
      </c>
      <c r="AC52" s="176">
        <f t="shared" si="1"/>
        <v>4.8184894284469273E-2</v>
      </c>
      <c r="AD52" s="176">
        <f t="shared" si="1"/>
        <v>4.8184894284469273E-2</v>
      </c>
      <c r="AE52" s="176">
        <f t="shared" si="1"/>
        <v>4.8184894284469273E-2</v>
      </c>
      <c r="AF52" s="176">
        <f t="shared" si="1"/>
        <v>4.8184894284469273E-2</v>
      </c>
      <c r="AG52" s="176">
        <f t="shared" si="1"/>
        <v>4.8184894284469273E-2</v>
      </c>
    </row>
    <row r="53" spans="1:33">
      <c r="A53" s="46" t="s">
        <v>215</v>
      </c>
      <c r="B53" s="134">
        <f t="shared" si="2"/>
        <v>7</v>
      </c>
      <c r="C53" s="173" t="s">
        <v>153</v>
      </c>
      <c r="D53" s="176">
        <f t="shared" si="3"/>
        <v>8.3784117606148796E-4</v>
      </c>
      <c r="E53" s="176">
        <f t="shared" si="1"/>
        <v>1.7654671112323946E-3</v>
      </c>
      <c r="F53" s="176">
        <f t="shared" si="1"/>
        <v>2.6631540855839887E-3</v>
      </c>
      <c r="G53" s="176">
        <f t="shared" si="1"/>
        <v>3.5907800207548956E-3</v>
      </c>
      <c r="H53" s="176">
        <f t="shared" si="1"/>
        <v>4.4884669951064894E-3</v>
      </c>
      <c r="I53" s="176">
        <f t="shared" si="1"/>
        <v>5.4160929302773967E-3</v>
      </c>
      <c r="J53" s="176">
        <f t="shared" si="1"/>
        <v>6.3437188654483032E-3</v>
      </c>
      <c r="K53" s="176">
        <f t="shared" si="1"/>
        <v>7.2414058397998974E-3</v>
      </c>
      <c r="L53" s="176">
        <f t="shared" si="1"/>
        <v>8.1690317749708048E-3</v>
      </c>
      <c r="M53" s="176">
        <f t="shared" si="1"/>
        <v>9.0667187493223989E-3</v>
      </c>
      <c r="N53" s="176">
        <f t="shared" si="1"/>
        <v>9.9943446844933045E-3</v>
      </c>
      <c r="O53" s="176">
        <f t="shared" si="1"/>
        <v>1.0921970619664212E-2</v>
      </c>
      <c r="P53" s="176">
        <f t="shared" si="1"/>
        <v>1.0921970619664212E-2</v>
      </c>
      <c r="Q53" s="176">
        <f t="shared" si="1"/>
        <v>1.0921970619664212E-2</v>
      </c>
      <c r="R53" s="176">
        <f t="shared" si="1"/>
        <v>1.0921970619664212E-2</v>
      </c>
      <c r="S53" s="176">
        <f t="shared" si="1"/>
        <v>1.0921970619664212E-2</v>
      </c>
      <c r="T53" s="176">
        <f t="shared" si="1"/>
        <v>1.0921970619664212E-2</v>
      </c>
      <c r="U53" s="176">
        <f t="shared" si="1"/>
        <v>1.0921970619664212E-2</v>
      </c>
      <c r="V53" s="176">
        <f t="shared" si="1"/>
        <v>1.0921970619664212E-2</v>
      </c>
      <c r="W53" s="176">
        <f t="shared" si="1"/>
        <v>1.0921970619664212E-2</v>
      </c>
      <c r="X53" s="176">
        <f t="shared" si="1"/>
        <v>1.0921970619664212E-2</v>
      </c>
      <c r="Y53" s="176">
        <f t="shared" si="1"/>
        <v>1.0921970619664212E-2</v>
      </c>
      <c r="Z53" s="176">
        <f t="shared" si="1"/>
        <v>1.0921970619664212E-2</v>
      </c>
      <c r="AA53" s="176">
        <f t="shared" si="1"/>
        <v>1.0921970619664212E-2</v>
      </c>
      <c r="AB53" s="176">
        <f t="shared" si="1"/>
        <v>1.0921970619664212E-2</v>
      </c>
      <c r="AC53" s="176">
        <f t="shared" si="1"/>
        <v>1.0921970619664212E-2</v>
      </c>
      <c r="AD53" s="176">
        <f t="shared" si="1"/>
        <v>1.0921970619664212E-2</v>
      </c>
      <c r="AE53" s="176">
        <f t="shared" si="1"/>
        <v>1.0921970619664212E-2</v>
      </c>
      <c r="AF53" s="176">
        <f t="shared" si="1"/>
        <v>1.0921970619664212E-2</v>
      </c>
      <c r="AG53" s="176">
        <f t="shared" si="1"/>
        <v>1.0921970619664212E-2</v>
      </c>
    </row>
    <row r="54" spans="1:33">
      <c r="A54" s="46" t="s">
        <v>216</v>
      </c>
      <c r="B54" s="138">
        <f t="shared" si="2"/>
        <v>8</v>
      </c>
      <c r="C54" s="48" t="s">
        <v>111</v>
      </c>
      <c r="D54" s="176">
        <f t="shared" si="3"/>
        <v>0</v>
      </c>
      <c r="E54" s="176">
        <f t="shared" si="1"/>
        <v>0</v>
      </c>
      <c r="F54" s="176">
        <f t="shared" si="1"/>
        <v>0</v>
      </c>
      <c r="G54" s="176">
        <f t="shared" si="1"/>
        <v>0</v>
      </c>
      <c r="H54" s="176">
        <f t="shared" si="1"/>
        <v>0</v>
      </c>
      <c r="I54" s="176">
        <f t="shared" si="1"/>
        <v>0</v>
      </c>
      <c r="J54" s="176">
        <f t="shared" si="1"/>
        <v>0</v>
      </c>
      <c r="K54" s="176">
        <f t="shared" si="1"/>
        <v>0</v>
      </c>
      <c r="L54" s="176">
        <f t="shared" si="1"/>
        <v>0</v>
      </c>
      <c r="M54" s="176">
        <f t="shared" si="1"/>
        <v>0</v>
      </c>
      <c r="N54" s="176">
        <f t="shared" si="1"/>
        <v>0</v>
      </c>
      <c r="O54" s="176">
        <f t="shared" si="1"/>
        <v>0</v>
      </c>
      <c r="P54" s="176">
        <f t="shared" si="1"/>
        <v>0</v>
      </c>
      <c r="Q54" s="176">
        <f t="shared" si="1"/>
        <v>0</v>
      </c>
      <c r="R54" s="176">
        <f t="shared" si="1"/>
        <v>0</v>
      </c>
      <c r="S54" s="176">
        <f t="shared" si="1"/>
        <v>0</v>
      </c>
      <c r="T54" s="176">
        <f t="shared" si="1"/>
        <v>0</v>
      </c>
      <c r="U54" s="176">
        <f t="shared" si="1"/>
        <v>1.8160935084976697E-3</v>
      </c>
      <c r="V54" s="176">
        <f t="shared" si="1"/>
        <v>3.6321870169953394E-3</v>
      </c>
      <c r="W54" s="176">
        <f t="shared" si="1"/>
        <v>5.3896875377951277E-3</v>
      </c>
      <c r="X54" s="176">
        <f t="shared" si="1"/>
        <v>7.2057810462927974E-3</v>
      </c>
      <c r="Y54" s="176">
        <f t="shared" si="1"/>
        <v>8.9632815670925847E-3</v>
      </c>
      <c r="Z54" s="176">
        <f t="shared" si="1"/>
        <v>1.0779375075590255E-2</v>
      </c>
      <c r="AA54" s="176">
        <f t="shared" si="1"/>
        <v>1.2595468584087924E-2</v>
      </c>
      <c r="AB54" s="176">
        <f t="shared" si="1"/>
        <v>1.4235815252840466E-2</v>
      </c>
      <c r="AC54" s="176">
        <f t="shared" si="1"/>
        <v>1.6051908761338135E-2</v>
      </c>
      <c r="AD54" s="176">
        <f t="shared" si="1"/>
        <v>1.7809409282137926E-2</v>
      </c>
      <c r="AE54" s="176">
        <f t="shared" si="1"/>
        <v>1.9274009111145341E-2</v>
      </c>
      <c r="AF54" s="176">
        <f t="shared" si="1"/>
        <v>1.9274009111145341E-2</v>
      </c>
      <c r="AG54" s="176">
        <f t="shared" si="1"/>
        <v>1.9274009111145341E-2</v>
      </c>
    </row>
    <row r="55" spans="1:33">
      <c r="A55" s="46" t="s">
        <v>217</v>
      </c>
      <c r="B55" s="138">
        <f t="shared" si="2"/>
        <v>9</v>
      </c>
      <c r="C55" s="48" t="s">
        <v>134</v>
      </c>
      <c r="D55" s="176">
        <f t="shared" si="3"/>
        <v>0</v>
      </c>
      <c r="E55" s="176">
        <f t="shared" si="1"/>
        <v>0</v>
      </c>
      <c r="F55" s="176">
        <f t="shared" si="1"/>
        <v>0</v>
      </c>
      <c r="G55" s="176">
        <f t="shared" si="1"/>
        <v>0</v>
      </c>
      <c r="H55" s="176">
        <f t="shared" si="1"/>
        <v>0</v>
      </c>
      <c r="I55" s="176">
        <f t="shared" si="1"/>
        <v>0</v>
      </c>
      <c r="J55" s="176">
        <f t="shared" si="1"/>
        <v>0</v>
      </c>
      <c r="K55" s="176">
        <f t="shared" si="1"/>
        <v>0</v>
      </c>
      <c r="L55" s="176">
        <f t="shared" si="1"/>
        <v>0</v>
      </c>
      <c r="M55" s="176">
        <f t="shared" si="1"/>
        <v>0</v>
      </c>
      <c r="N55" s="176">
        <f t="shared" si="1"/>
        <v>0</v>
      </c>
      <c r="O55" s="176">
        <f t="shared" si="1"/>
        <v>0</v>
      </c>
      <c r="P55" s="176">
        <f t="shared" si="1"/>
        <v>0</v>
      </c>
      <c r="Q55" s="176">
        <f t="shared" si="1"/>
        <v>0</v>
      </c>
      <c r="R55" s="176">
        <f t="shared" si="1"/>
        <v>0</v>
      </c>
      <c r="S55" s="176">
        <f t="shared" si="1"/>
        <v>0</v>
      </c>
      <c r="T55" s="176">
        <f t="shared" si="1"/>
        <v>0</v>
      </c>
      <c r="U55" s="176">
        <f t="shared" si="1"/>
        <v>5.7462888296998344E-3</v>
      </c>
      <c r="V55" s="176">
        <f t="shared" si="1"/>
        <v>1.316858124500783E-2</v>
      </c>
      <c r="W55" s="176">
        <f t="shared" si="1"/>
        <v>2.0351426220458366E-2</v>
      </c>
      <c r="X55" s="176">
        <f t="shared" si="1"/>
        <v>2.7773718635766362E-2</v>
      </c>
      <c r="Y55" s="176">
        <f t="shared" si="1"/>
        <v>3.4956563611216893E-2</v>
      </c>
      <c r="Z55" s="176">
        <f t="shared" si="1"/>
        <v>4.2378856026524893E-2</v>
      </c>
      <c r="AA55" s="176">
        <f t="shared" si="1"/>
        <v>4.9801148441832886E-2</v>
      </c>
      <c r="AB55" s="176">
        <f t="shared" si="1"/>
        <v>5.6505162784265532E-2</v>
      </c>
      <c r="AC55" s="176">
        <f t="shared" si="1"/>
        <v>6.3927455199573532E-2</v>
      </c>
      <c r="AD55" s="176">
        <f t="shared" si="1"/>
        <v>7.1110300175024066E-2</v>
      </c>
      <c r="AE55" s="176">
        <f t="shared" si="1"/>
        <v>7.7096004321232842E-2</v>
      </c>
      <c r="AF55" s="176">
        <f t="shared" si="1"/>
        <v>7.7096004321232842E-2</v>
      </c>
      <c r="AG55" s="176">
        <f t="shared" si="1"/>
        <v>7.7096004321232842E-2</v>
      </c>
    </row>
    <row r="56" spans="1:33">
      <c r="A56" s="46" t="s">
        <v>218</v>
      </c>
      <c r="B56" s="138">
        <f t="shared" si="2"/>
        <v>10</v>
      </c>
      <c r="C56" s="48" t="s">
        <v>112</v>
      </c>
      <c r="D56" s="176">
        <f t="shared" si="3"/>
        <v>0</v>
      </c>
      <c r="E56" s="176">
        <f t="shared" si="1"/>
        <v>0</v>
      </c>
      <c r="F56" s="176">
        <f t="shared" si="1"/>
        <v>0</v>
      </c>
      <c r="G56" s="176">
        <f t="shared" si="1"/>
        <v>0</v>
      </c>
      <c r="H56" s="176">
        <f t="shared" si="1"/>
        <v>0</v>
      </c>
      <c r="I56" s="176">
        <f t="shared" si="1"/>
        <v>0</v>
      </c>
      <c r="J56" s="176">
        <f t="shared" si="1"/>
        <v>0</v>
      </c>
      <c r="K56" s="176">
        <f t="shared" si="1"/>
        <v>0</v>
      </c>
      <c r="L56" s="176">
        <f t="shared" si="1"/>
        <v>0</v>
      </c>
      <c r="M56" s="176">
        <f t="shared" si="1"/>
        <v>0</v>
      </c>
      <c r="N56" s="176">
        <f t="shared" si="1"/>
        <v>0</v>
      </c>
      <c r="O56" s="176">
        <f t="shared" si="1"/>
        <v>0</v>
      </c>
      <c r="P56" s="176">
        <f t="shared" si="1"/>
        <v>0</v>
      </c>
      <c r="Q56" s="176">
        <f t="shared" si="1"/>
        <v>0</v>
      </c>
      <c r="R56" s="176">
        <f t="shared" si="1"/>
        <v>0</v>
      </c>
      <c r="S56" s="176">
        <f t="shared" si="1"/>
        <v>0</v>
      </c>
      <c r="T56" s="176">
        <f t="shared" si="1"/>
        <v>0</v>
      </c>
      <c r="U56" s="176">
        <f t="shared" si="1"/>
        <v>7.1828449754505336E-3</v>
      </c>
      <c r="V56" s="176">
        <f t="shared" si="1"/>
        <v>1.6460710494585529E-2</v>
      </c>
      <c r="W56" s="176">
        <f t="shared" si="1"/>
        <v>2.5439282775572957E-2</v>
      </c>
      <c r="X56" s="176">
        <f t="shared" si="1"/>
        <v>3.4717148294707949E-2</v>
      </c>
      <c r="Y56" s="176">
        <f t="shared" si="1"/>
        <v>4.3695720575695381E-2</v>
      </c>
      <c r="Z56" s="176">
        <f t="shared" si="1"/>
        <v>5.2973586094830376E-2</v>
      </c>
      <c r="AA56" s="176">
        <f t="shared" si="1"/>
        <v>6.2251451613965371E-2</v>
      </c>
      <c r="AB56" s="176">
        <f t="shared" si="1"/>
        <v>7.0631469542006178E-2</v>
      </c>
      <c r="AC56" s="176">
        <f t="shared" si="1"/>
        <v>7.9909335061141173E-2</v>
      </c>
      <c r="AD56" s="176">
        <f t="shared" si="1"/>
        <v>8.8887907342128605E-2</v>
      </c>
      <c r="AE56" s="176">
        <f t="shared" si="1"/>
        <v>9.6370045555726702E-2</v>
      </c>
      <c r="AF56" s="176">
        <f t="shared" si="1"/>
        <v>9.6370045555726702E-2</v>
      </c>
      <c r="AG56" s="176">
        <f t="shared" si="1"/>
        <v>9.6370045555726702E-2</v>
      </c>
    </row>
    <row r="57" spans="1:33">
      <c r="A57" s="46" t="s">
        <v>219</v>
      </c>
      <c r="B57" s="134">
        <f t="shared" si="2"/>
        <v>11</v>
      </c>
      <c r="C57" s="46" t="s">
        <v>104</v>
      </c>
      <c r="D57" s="176">
        <f t="shared" si="3"/>
        <v>0</v>
      </c>
      <c r="E57" s="176">
        <f t="shared" si="1"/>
        <v>0</v>
      </c>
      <c r="F57" s="176">
        <f t="shared" si="1"/>
        <v>0</v>
      </c>
      <c r="G57" s="176">
        <f t="shared" si="1"/>
        <v>0</v>
      </c>
      <c r="H57" s="176">
        <f t="shared" si="1"/>
        <v>0</v>
      </c>
      <c r="I57" s="176">
        <f t="shared" si="1"/>
        <v>0</v>
      </c>
      <c r="J57" s="176">
        <f t="shared" si="1"/>
        <v>0</v>
      </c>
      <c r="K57" s="176">
        <f t="shared" si="1"/>
        <v>0</v>
      </c>
      <c r="L57" s="176">
        <f t="shared" si="1"/>
        <v>0</v>
      </c>
      <c r="M57" s="176">
        <f t="shared" si="1"/>
        <v>0</v>
      </c>
      <c r="N57" s="176">
        <f t="shared" ref="E57:AG65" si="4">N35/$AG$26</f>
        <v>0</v>
      </c>
      <c r="O57" s="176">
        <f t="shared" si="4"/>
        <v>0</v>
      </c>
      <c r="P57" s="176">
        <f t="shared" si="4"/>
        <v>0</v>
      </c>
      <c r="Q57" s="176">
        <f t="shared" si="4"/>
        <v>0</v>
      </c>
      <c r="R57" s="176">
        <f t="shared" si="4"/>
        <v>0</v>
      </c>
      <c r="S57" s="176">
        <f t="shared" si="4"/>
        <v>0</v>
      </c>
      <c r="T57" s="176">
        <f t="shared" si="4"/>
        <v>0</v>
      </c>
      <c r="U57" s="176">
        <f t="shared" si="4"/>
        <v>1.9384834663534426E-3</v>
      </c>
      <c r="V57" s="176">
        <f t="shared" si="4"/>
        <v>4.800031352388154E-3</v>
      </c>
      <c r="W57" s="176">
        <f t="shared" si="4"/>
        <v>7.569288858128998E-3</v>
      </c>
      <c r="X57" s="176">
        <f t="shared" si="4"/>
        <v>1.043083674416371E-2</v>
      </c>
      <c r="Y57" s="176">
        <f t="shared" si="4"/>
        <v>1.3200094249904553E-2</v>
      </c>
      <c r="Z57" s="176">
        <f t="shared" si="4"/>
        <v>1.6061642135939264E-2</v>
      </c>
      <c r="AA57" s="176">
        <f t="shared" si="4"/>
        <v>1.8923190021973978E-2</v>
      </c>
      <c r="AB57" s="176">
        <f t="shared" si="4"/>
        <v>2.1507834643778565E-2</v>
      </c>
      <c r="AC57" s="176">
        <f t="shared" si="4"/>
        <v>2.4369382529813279E-2</v>
      </c>
      <c r="AD57" s="176">
        <f t="shared" si="4"/>
        <v>2.7138640035554121E-2</v>
      </c>
      <c r="AE57" s="176">
        <f t="shared" si="4"/>
        <v>3.0000187921588834E-2</v>
      </c>
      <c r="AF57" s="176">
        <f t="shared" si="4"/>
        <v>3.2123284271878529E-2</v>
      </c>
      <c r="AG57" s="176">
        <f t="shared" si="4"/>
        <v>3.2123284271878529E-2</v>
      </c>
    </row>
    <row r="58" spans="1:33">
      <c r="A58" s="46" t="s">
        <v>220</v>
      </c>
      <c r="B58" s="134">
        <f t="shared" si="2"/>
        <v>12</v>
      </c>
      <c r="C58" s="46" t="s">
        <v>113</v>
      </c>
      <c r="D58" s="176">
        <f t="shared" si="3"/>
        <v>0</v>
      </c>
      <c r="E58" s="176">
        <f t="shared" si="4"/>
        <v>0</v>
      </c>
      <c r="F58" s="176">
        <f t="shared" si="4"/>
        <v>0</v>
      </c>
      <c r="G58" s="176">
        <f t="shared" si="4"/>
        <v>0</v>
      </c>
      <c r="H58" s="176">
        <f t="shared" si="4"/>
        <v>0</v>
      </c>
      <c r="I58" s="176">
        <f t="shared" si="4"/>
        <v>0</v>
      </c>
      <c r="J58" s="176">
        <f t="shared" si="4"/>
        <v>0</v>
      </c>
      <c r="K58" s="176">
        <f t="shared" si="4"/>
        <v>0</v>
      </c>
      <c r="L58" s="176">
        <f t="shared" si="4"/>
        <v>0</v>
      </c>
      <c r="M58" s="176">
        <f t="shared" si="4"/>
        <v>0</v>
      </c>
      <c r="N58" s="176">
        <f t="shared" si="4"/>
        <v>0</v>
      </c>
      <c r="O58" s="176">
        <f t="shared" si="4"/>
        <v>0</v>
      </c>
      <c r="P58" s="176">
        <f t="shared" si="4"/>
        <v>0</v>
      </c>
      <c r="Q58" s="176">
        <f t="shared" si="4"/>
        <v>0</v>
      </c>
      <c r="R58" s="176">
        <f t="shared" si="4"/>
        <v>0</v>
      </c>
      <c r="S58" s="176">
        <f t="shared" si="4"/>
        <v>0</v>
      </c>
      <c r="T58" s="176">
        <f t="shared" si="4"/>
        <v>0</v>
      </c>
      <c r="U58" s="176">
        <f t="shared" si="4"/>
        <v>1.8463858261506864E-3</v>
      </c>
      <c r="V58" s="176">
        <f t="shared" si="4"/>
        <v>5.9348207621553548E-3</v>
      </c>
      <c r="W58" s="176">
        <f t="shared" si="4"/>
        <v>9.8913572291427516E-3</v>
      </c>
      <c r="X58" s="176">
        <f t="shared" si="4"/>
        <v>1.397979216514742E-2</v>
      </c>
      <c r="Y58" s="176">
        <f t="shared" si="4"/>
        <v>1.7936328632134818E-2</v>
      </c>
      <c r="Z58" s="176">
        <f t="shared" si="4"/>
        <v>2.2024763568139486E-2</v>
      </c>
      <c r="AA58" s="176">
        <f t="shared" si="4"/>
        <v>2.6113198504144154E-2</v>
      </c>
      <c r="AB58" s="176">
        <f t="shared" si="4"/>
        <v>2.9805970156445524E-2</v>
      </c>
      <c r="AC58" s="176">
        <f t="shared" si="4"/>
        <v>3.3894405092450196E-2</v>
      </c>
      <c r="AD58" s="176">
        <f t="shared" si="4"/>
        <v>3.7850941559437593E-2</v>
      </c>
      <c r="AE58" s="176">
        <f t="shared" si="4"/>
        <v>4.1939376495442257E-2</v>
      </c>
      <c r="AF58" s="176">
        <f t="shared" si="4"/>
        <v>4.4972720049354313E-2</v>
      </c>
      <c r="AG58" s="176">
        <f t="shared" si="4"/>
        <v>4.4972720049354313E-2</v>
      </c>
    </row>
    <row r="59" spans="1:33">
      <c r="A59" s="46" t="s">
        <v>221</v>
      </c>
      <c r="B59" s="138">
        <f t="shared" si="2"/>
        <v>13</v>
      </c>
      <c r="C59" s="48" t="s">
        <v>114</v>
      </c>
      <c r="D59" s="176">
        <f t="shared" si="3"/>
        <v>0</v>
      </c>
      <c r="E59" s="176">
        <f t="shared" si="4"/>
        <v>0</v>
      </c>
      <c r="F59" s="176">
        <f t="shared" si="4"/>
        <v>0</v>
      </c>
      <c r="G59" s="176">
        <f t="shared" si="4"/>
        <v>0</v>
      </c>
      <c r="H59" s="176">
        <f t="shared" si="4"/>
        <v>0</v>
      </c>
      <c r="I59" s="176">
        <f t="shared" si="4"/>
        <v>0</v>
      </c>
      <c r="J59" s="176">
        <f t="shared" si="4"/>
        <v>0</v>
      </c>
      <c r="K59" s="176">
        <f t="shared" si="4"/>
        <v>0</v>
      </c>
      <c r="L59" s="176">
        <f t="shared" si="4"/>
        <v>0</v>
      </c>
      <c r="M59" s="176">
        <f t="shared" si="4"/>
        <v>0</v>
      </c>
      <c r="N59" s="176">
        <f t="shared" si="4"/>
        <v>0</v>
      </c>
      <c r="O59" s="176">
        <f t="shared" si="4"/>
        <v>0</v>
      </c>
      <c r="P59" s="176">
        <f t="shared" si="4"/>
        <v>0</v>
      </c>
      <c r="Q59" s="176">
        <f t="shared" si="4"/>
        <v>0</v>
      </c>
      <c r="R59" s="176">
        <f t="shared" si="4"/>
        <v>0</v>
      </c>
      <c r="S59" s="176">
        <f t="shared" si="4"/>
        <v>0</v>
      </c>
      <c r="T59" s="176">
        <f t="shared" si="4"/>
        <v>0</v>
      </c>
      <c r="U59" s="176">
        <f t="shared" si="4"/>
        <v>2.6451971337621053E-3</v>
      </c>
      <c r="V59" s="176">
        <f t="shared" si="4"/>
        <v>8.9529699722181218E-3</v>
      </c>
      <c r="W59" s="176">
        <f t="shared" si="4"/>
        <v>1.5057273521157481E-2</v>
      </c>
      <c r="X59" s="176">
        <f t="shared" si="4"/>
        <v>2.1365046359613497E-2</v>
      </c>
      <c r="Y59" s="176">
        <f t="shared" si="4"/>
        <v>2.7469349908552858E-2</v>
      </c>
      <c r="Z59" s="176">
        <f t="shared" si="4"/>
        <v>3.3777122747008871E-2</v>
      </c>
      <c r="AA59" s="176">
        <f t="shared" si="4"/>
        <v>4.0084895585464894E-2</v>
      </c>
      <c r="AB59" s="176">
        <f t="shared" si="4"/>
        <v>4.5782228432022419E-2</v>
      </c>
      <c r="AC59" s="176">
        <f t="shared" si="4"/>
        <v>5.2090001270478435E-2</v>
      </c>
      <c r="AD59" s="176">
        <f t="shared" si="4"/>
        <v>5.8194304819417793E-2</v>
      </c>
      <c r="AE59" s="176">
        <f t="shared" si="4"/>
        <v>6.4502077657873816E-2</v>
      </c>
      <c r="AF59" s="176">
        <f t="shared" si="4"/>
        <v>7.0606381206813174E-2</v>
      </c>
      <c r="AG59" s="176">
        <f t="shared" si="4"/>
        <v>7.5489836895304058E-2</v>
      </c>
    </row>
    <row r="60" spans="1:33">
      <c r="A60" s="46" t="s">
        <v>222</v>
      </c>
      <c r="B60" s="138">
        <f t="shared" si="2"/>
        <v>14</v>
      </c>
      <c r="C60" s="48" t="s">
        <v>115</v>
      </c>
      <c r="D60" s="176">
        <f t="shared" si="3"/>
        <v>0</v>
      </c>
      <c r="E60" s="176">
        <f t="shared" si="4"/>
        <v>0</v>
      </c>
      <c r="F60" s="176">
        <f t="shared" si="4"/>
        <v>0</v>
      </c>
      <c r="G60" s="176">
        <f t="shared" si="4"/>
        <v>0</v>
      </c>
      <c r="H60" s="176">
        <f t="shared" si="4"/>
        <v>0</v>
      </c>
      <c r="I60" s="176">
        <f t="shared" si="4"/>
        <v>0</v>
      </c>
      <c r="J60" s="176">
        <f t="shared" si="4"/>
        <v>0</v>
      </c>
      <c r="K60" s="176">
        <f t="shared" si="4"/>
        <v>0</v>
      </c>
      <c r="L60" s="176">
        <f t="shared" si="4"/>
        <v>0</v>
      </c>
      <c r="M60" s="176">
        <f t="shared" si="4"/>
        <v>0</v>
      </c>
      <c r="N60" s="176">
        <f t="shared" si="4"/>
        <v>0</v>
      </c>
      <c r="O60" s="176">
        <f t="shared" si="4"/>
        <v>0</v>
      </c>
      <c r="P60" s="176">
        <f t="shared" si="4"/>
        <v>0</v>
      </c>
      <c r="Q60" s="176">
        <f t="shared" si="4"/>
        <v>0</v>
      </c>
      <c r="R60" s="176">
        <f t="shared" si="4"/>
        <v>0</v>
      </c>
      <c r="S60" s="176">
        <f t="shared" si="4"/>
        <v>0</v>
      </c>
      <c r="T60" s="176">
        <f t="shared" si="4"/>
        <v>0</v>
      </c>
      <c r="U60" s="176">
        <f t="shared" si="4"/>
        <v>2.6451971337621053E-3</v>
      </c>
      <c r="V60" s="176">
        <f t="shared" si="4"/>
        <v>8.9529699722181218E-3</v>
      </c>
      <c r="W60" s="176">
        <f t="shared" si="4"/>
        <v>1.5057273521157481E-2</v>
      </c>
      <c r="X60" s="176">
        <f t="shared" si="4"/>
        <v>2.1365046359613497E-2</v>
      </c>
      <c r="Y60" s="176">
        <f t="shared" si="4"/>
        <v>2.7469349908552858E-2</v>
      </c>
      <c r="Z60" s="176">
        <f t="shared" si="4"/>
        <v>3.3777122747008871E-2</v>
      </c>
      <c r="AA60" s="176">
        <f t="shared" si="4"/>
        <v>4.0084895585464894E-2</v>
      </c>
      <c r="AB60" s="176">
        <f t="shared" si="4"/>
        <v>4.5782228432022419E-2</v>
      </c>
      <c r="AC60" s="176">
        <f t="shared" si="4"/>
        <v>5.2090001270478435E-2</v>
      </c>
      <c r="AD60" s="176">
        <f t="shared" si="4"/>
        <v>5.8194304819417793E-2</v>
      </c>
      <c r="AE60" s="176">
        <f t="shared" si="4"/>
        <v>6.4502077657873816E-2</v>
      </c>
      <c r="AF60" s="176">
        <f t="shared" si="4"/>
        <v>7.0606381206813174E-2</v>
      </c>
      <c r="AG60" s="176">
        <f t="shared" si="4"/>
        <v>7.5489836895304058E-2</v>
      </c>
    </row>
    <row r="61" spans="1:33">
      <c r="A61" s="46" t="s">
        <v>223</v>
      </c>
      <c r="B61" s="138">
        <f t="shared" si="2"/>
        <v>15</v>
      </c>
      <c r="C61" s="48" t="s">
        <v>117</v>
      </c>
      <c r="D61" s="176">
        <f t="shared" si="3"/>
        <v>0</v>
      </c>
      <c r="E61" s="176">
        <f t="shared" si="4"/>
        <v>0</v>
      </c>
      <c r="F61" s="176">
        <f t="shared" si="4"/>
        <v>0</v>
      </c>
      <c r="G61" s="176">
        <f t="shared" si="4"/>
        <v>0</v>
      </c>
      <c r="H61" s="176">
        <f t="shared" si="4"/>
        <v>0</v>
      </c>
      <c r="I61" s="176">
        <f t="shared" si="4"/>
        <v>0</v>
      </c>
      <c r="J61" s="176">
        <f t="shared" si="4"/>
        <v>0</v>
      </c>
      <c r="K61" s="176">
        <f t="shared" si="4"/>
        <v>0</v>
      </c>
      <c r="L61" s="176">
        <f t="shared" si="4"/>
        <v>0</v>
      </c>
      <c r="M61" s="176">
        <f t="shared" si="4"/>
        <v>0</v>
      </c>
      <c r="N61" s="176">
        <f t="shared" si="4"/>
        <v>0</v>
      </c>
      <c r="O61" s="176">
        <f t="shared" si="4"/>
        <v>0</v>
      </c>
      <c r="P61" s="176">
        <f t="shared" si="4"/>
        <v>0</v>
      </c>
      <c r="Q61" s="176">
        <f t="shared" si="4"/>
        <v>0</v>
      </c>
      <c r="R61" s="176">
        <f t="shared" si="4"/>
        <v>0</v>
      </c>
      <c r="S61" s="176">
        <f t="shared" si="4"/>
        <v>0</v>
      </c>
      <c r="T61" s="176">
        <f t="shared" si="4"/>
        <v>0</v>
      </c>
      <c r="U61" s="176">
        <f t="shared" si="4"/>
        <v>2.6451971337621053E-3</v>
      </c>
      <c r="V61" s="176">
        <f t="shared" si="4"/>
        <v>8.9529699722181218E-3</v>
      </c>
      <c r="W61" s="176">
        <f t="shared" si="4"/>
        <v>1.5057273521157481E-2</v>
      </c>
      <c r="X61" s="176">
        <f t="shared" si="4"/>
        <v>2.1365046359613497E-2</v>
      </c>
      <c r="Y61" s="176">
        <f t="shared" si="4"/>
        <v>2.7469349908552858E-2</v>
      </c>
      <c r="Z61" s="176">
        <f t="shared" si="4"/>
        <v>3.3777122747008871E-2</v>
      </c>
      <c r="AA61" s="176">
        <f t="shared" si="4"/>
        <v>4.0084895585464894E-2</v>
      </c>
      <c r="AB61" s="176">
        <f t="shared" si="4"/>
        <v>4.5782228432022419E-2</v>
      </c>
      <c r="AC61" s="176">
        <f t="shared" si="4"/>
        <v>5.2090001270478435E-2</v>
      </c>
      <c r="AD61" s="176">
        <f t="shared" si="4"/>
        <v>5.8194304819417793E-2</v>
      </c>
      <c r="AE61" s="176">
        <f t="shared" si="4"/>
        <v>6.4502077657873816E-2</v>
      </c>
      <c r="AF61" s="176">
        <f t="shared" si="4"/>
        <v>7.0606381206813174E-2</v>
      </c>
      <c r="AG61" s="176">
        <f t="shared" si="4"/>
        <v>7.5489836895304058E-2</v>
      </c>
    </row>
    <row r="62" spans="1:33">
      <c r="A62" s="46" t="s">
        <v>224</v>
      </c>
      <c r="B62" s="138">
        <f t="shared" si="2"/>
        <v>16</v>
      </c>
      <c r="C62" s="48" t="s">
        <v>116</v>
      </c>
      <c r="D62" s="176">
        <f t="shared" si="3"/>
        <v>0</v>
      </c>
      <c r="E62" s="176">
        <f t="shared" si="4"/>
        <v>0</v>
      </c>
      <c r="F62" s="176">
        <f t="shared" si="4"/>
        <v>0</v>
      </c>
      <c r="G62" s="176">
        <f t="shared" si="4"/>
        <v>0</v>
      </c>
      <c r="H62" s="176">
        <f t="shared" si="4"/>
        <v>0</v>
      </c>
      <c r="I62" s="176">
        <f t="shared" si="4"/>
        <v>0</v>
      </c>
      <c r="J62" s="176">
        <f t="shared" si="4"/>
        <v>0</v>
      </c>
      <c r="K62" s="176">
        <f t="shared" si="4"/>
        <v>0</v>
      </c>
      <c r="L62" s="176">
        <f t="shared" si="4"/>
        <v>0</v>
      </c>
      <c r="M62" s="176">
        <f t="shared" si="4"/>
        <v>0</v>
      </c>
      <c r="N62" s="176">
        <f t="shared" si="4"/>
        <v>0</v>
      </c>
      <c r="O62" s="176">
        <f t="shared" si="4"/>
        <v>0</v>
      </c>
      <c r="P62" s="176">
        <f t="shared" si="4"/>
        <v>0</v>
      </c>
      <c r="Q62" s="176">
        <f t="shared" si="4"/>
        <v>0</v>
      </c>
      <c r="R62" s="176">
        <f t="shared" si="4"/>
        <v>0</v>
      </c>
      <c r="S62" s="176">
        <f t="shared" si="4"/>
        <v>0</v>
      </c>
      <c r="T62" s="176">
        <f t="shared" si="4"/>
        <v>0</v>
      </c>
      <c r="U62" s="176">
        <f t="shared" si="4"/>
        <v>2.6451971337621053E-3</v>
      </c>
      <c r="V62" s="176">
        <f t="shared" si="4"/>
        <v>8.9529699722181218E-3</v>
      </c>
      <c r="W62" s="176">
        <f t="shared" si="4"/>
        <v>1.5057273521157481E-2</v>
      </c>
      <c r="X62" s="176">
        <f t="shared" si="4"/>
        <v>2.1365046359613497E-2</v>
      </c>
      <c r="Y62" s="176">
        <f t="shared" si="4"/>
        <v>2.7469349908552858E-2</v>
      </c>
      <c r="Z62" s="176">
        <f t="shared" si="4"/>
        <v>3.3777122747008871E-2</v>
      </c>
      <c r="AA62" s="176">
        <f t="shared" si="4"/>
        <v>4.0084895585464894E-2</v>
      </c>
      <c r="AB62" s="176">
        <f t="shared" si="4"/>
        <v>4.5782228432022419E-2</v>
      </c>
      <c r="AC62" s="176">
        <f t="shared" si="4"/>
        <v>5.2090001270478435E-2</v>
      </c>
      <c r="AD62" s="176">
        <f t="shared" si="4"/>
        <v>5.8194304819417793E-2</v>
      </c>
      <c r="AE62" s="176">
        <f t="shared" si="4"/>
        <v>6.4502077657873816E-2</v>
      </c>
      <c r="AF62" s="176">
        <f t="shared" si="4"/>
        <v>7.0606381206813174E-2</v>
      </c>
      <c r="AG62" s="176">
        <f t="shared" si="4"/>
        <v>7.5489836895304058E-2</v>
      </c>
    </row>
    <row r="63" spans="1:33">
      <c r="A63" s="46" t="s">
        <v>225</v>
      </c>
      <c r="B63" s="134">
        <f t="shared" si="2"/>
        <v>17</v>
      </c>
      <c r="C63" s="46" t="s">
        <v>198</v>
      </c>
      <c r="D63" s="176">
        <f t="shared" si="3"/>
        <v>0</v>
      </c>
      <c r="E63" s="176">
        <f t="shared" si="4"/>
        <v>0</v>
      </c>
      <c r="F63" s="176">
        <f t="shared" si="4"/>
        <v>0</v>
      </c>
      <c r="G63" s="176">
        <f t="shared" si="4"/>
        <v>0</v>
      </c>
      <c r="H63" s="176">
        <f t="shared" si="4"/>
        <v>0</v>
      </c>
      <c r="I63" s="176">
        <f t="shared" si="4"/>
        <v>0</v>
      </c>
      <c r="J63" s="176">
        <f t="shared" si="4"/>
        <v>0</v>
      </c>
      <c r="K63" s="176">
        <f t="shared" si="4"/>
        <v>0</v>
      </c>
      <c r="L63" s="176">
        <f t="shared" si="4"/>
        <v>0</v>
      </c>
      <c r="M63" s="176">
        <f t="shared" si="4"/>
        <v>0</v>
      </c>
      <c r="N63" s="176">
        <f t="shared" si="4"/>
        <v>0</v>
      </c>
      <c r="O63" s="176">
        <f t="shared" si="4"/>
        <v>0</v>
      </c>
      <c r="P63" s="176">
        <f t="shared" si="4"/>
        <v>0</v>
      </c>
      <c r="Q63" s="176">
        <f t="shared" si="4"/>
        <v>0</v>
      </c>
      <c r="R63" s="176">
        <f t="shared" si="4"/>
        <v>0</v>
      </c>
      <c r="S63" s="176">
        <f t="shared" si="4"/>
        <v>0</v>
      </c>
      <c r="T63" s="176">
        <f t="shared" si="4"/>
        <v>0</v>
      </c>
      <c r="U63" s="176">
        <f t="shared" si="4"/>
        <v>0</v>
      </c>
      <c r="V63" s="176">
        <f t="shared" si="4"/>
        <v>4.537422978248799E-3</v>
      </c>
      <c r="W63" s="176">
        <f t="shared" si="4"/>
        <v>9.9823305521473567E-3</v>
      </c>
      <c r="X63" s="176">
        <f t="shared" si="4"/>
        <v>1.5608735045175869E-2</v>
      </c>
      <c r="Y63" s="176">
        <f t="shared" si="4"/>
        <v>2.1053642619074428E-2</v>
      </c>
      <c r="Z63" s="176">
        <f t="shared" si="4"/>
        <v>2.6680047112102936E-2</v>
      </c>
      <c r="AA63" s="176">
        <f t="shared" si="4"/>
        <v>3.2306451605131445E-2</v>
      </c>
      <c r="AB63" s="176">
        <f t="shared" si="4"/>
        <v>3.6299383825990392E-2</v>
      </c>
      <c r="AC63" s="176">
        <f t="shared" si="4"/>
        <v>3.6299383825990392E-2</v>
      </c>
      <c r="AD63" s="176">
        <f t="shared" si="4"/>
        <v>3.6299383825990392E-2</v>
      </c>
      <c r="AE63" s="176">
        <f t="shared" si="4"/>
        <v>3.6299383825990392E-2</v>
      </c>
      <c r="AF63" s="176">
        <f t="shared" si="4"/>
        <v>3.6299383825990392E-2</v>
      </c>
      <c r="AG63" s="176">
        <f t="shared" si="4"/>
        <v>3.6299383825990392E-2</v>
      </c>
    </row>
    <row r="64" spans="1:33">
      <c r="A64" s="46" t="s">
        <v>226</v>
      </c>
      <c r="B64" s="134">
        <f t="shared" si="2"/>
        <v>18</v>
      </c>
      <c r="C64" s="46" t="s">
        <v>118</v>
      </c>
      <c r="D64" s="176">
        <f t="shared" si="3"/>
        <v>0</v>
      </c>
      <c r="E64" s="176">
        <f t="shared" si="4"/>
        <v>0</v>
      </c>
      <c r="F64" s="176">
        <f t="shared" si="4"/>
        <v>0</v>
      </c>
      <c r="G64" s="176">
        <f t="shared" si="4"/>
        <v>0</v>
      </c>
      <c r="H64" s="176">
        <f t="shared" si="4"/>
        <v>0</v>
      </c>
      <c r="I64" s="176">
        <f t="shared" si="4"/>
        <v>0</v>
      </c>
      <c r="J64" s="176">
        <f t="shared" si="4"/>
        <v>0</v>
      </c>
      <c r="K64" s="176">
        <f t="shared" si="4"/>
        <v>0</v>
      </c>
      <c r="L64" s="176">
        <f t="shared" si="4"/>
        <v>0</v>
      </c>
      <c r="M64" s="176">
        <f t="shared" si="4"/>
        <v>0</v>
      </c>
      <c r="N64" s="176">
        <f t="shared" si="4"/>
        <v>0</v>
      </c>
      <c r="O64" s="176">
        <f t="shared" si="4"/>
        <v>0</v>
      </c>
      <c r="P64" s="176">
        <f t="shared" si="4"/>
        <v>0</v>
      </c>
      <c r="Q64" s="176">
        <f t="shared" si="4"/>
        <v>0</v>
      </c>
      <c r="R64" s="176">
        <f t="shared" si="4"/>
        <v>0</v>
      </c>
      <c r="S64" s="176">
        <f t="shared" si="4"/>
        <v>0</v>
      </c>
      <c r="T64" s="176">
        <f t="shared" si="4"/>
        <v>0</v>
      </c>
      <c r="U64" s="176">
        <f t="shared" si="4"/>
        <v>0</v>
      </c>
      <c r="V64" s="176">
        <f t="shared" si="4"/>
        <v>0</v>
      </c>
      <c r="W64" s="176">
        <f t="shared" si="4"/>
        <v>0</v>
      </c>
      <c r="X64" s="176">
        <f t="shared" si="4"/>
        <v>0</v>
      </c>
      <c r="Y64" s="176">
        <f t="shared" si="4"/>
        <v>0</v>
      </c>
      <c r="Z64" s="176">
        <f t="shared" si="4"/>
        <v>0</v>
      </c>
      <c r="AA64" s="176">
        <f t="shared" si="4"/>
        <v>0</v>
      </c>
      <c r="AB64" s="176">
        <f t="shared" si="4"/>
        <v>2.0302662977407168E-2</v>
      </c>
      <c r="AC64" s="176">
        <f t="shared" si="4"/>
        <v>4.5477988198202986E-2</v>
      </c>
      <c r="AD64" s="176">
        <f t="shared" si="4"/>
        <v>6.9841203045100705E-2</v>
      </c>
      <c r="AE64" s="176">
        <f t="shared" si="4"/>
        <v>9.5016528265896516E-2</v>
      </c>
      <c r="AF64" s="176">
        <f t="shared" si="4"/>
        <v>0.11937974311279423</v>
      </c>
      <c r="AG64" s="176">
        <f t="shared" si="4"/>
        <v>0.14455506833359005</v>
      </c>
    </row>
    <row r="65" spans="1:33">
      <c r="A65" s="46" t="s">
        <v>227</v>
      </c>
      <c r="B65" s="134">
        <f t="shared" si="2"/>
        <v>19</v>
      </c>
      <c r="C65" s="46" t="s">
        <v>194</v>
      </c>
      <c r="D65" s="176">
        <f t="shared" si="3"/>
        <v>0</v>
      </c>
      <c r="E65" s="176">
        <f t="shared" si="4"/>
        <v>0</v>
      </c>
      <c r="F65" s="176">
        <f t="shared" si="4"/>
        <v>0</v>
      </c>
      <c r="G65" s="176">
        <f t="shared" si="4"/>
        <v>0</v>
      </c>
      <c r="H65" s="176">
        <f t="shared" si="4"/>
        <v>0</v>
      </c>
      <c r="I65" s="176">
        <f t="shared" si="4"/>
        <v>0</v>
      </c>
      <c r="J65" s="176">
        <f t="shared" si="4"/>
        <v>0</v>
      </c>
      <c r="K65" s="176">
        <f t="shared" si="4"/>
        <v>0</v>
      </c>
      <c r="L65" s="176">
        <f t="shared" si="4"/>
        <v>0</v>
      </c>
      <c r="M65" s="176">
        <f t="shared" si="4"/>
        <v>0</v>
      </c>
      <c r="N65" s="176">
        <f t="shared" si="4"/>
        <v>0</v>
      </c>
      <c r="O65" s="176">
        <f t="shared" si="4"/>
        <v>0</v>
      </c>
      <c r="P65" s="176">
        <f t="shared" si="4"/>
        <v>0</v>
      </c>
      <c r="Q65" s="176">
        <f t="shared" si="4"/>
        <v>0</v>
      </c>
      <c r="R65" s="176">
        <f t="shared" si="4"/>
        <v>0</v>
      </c>
      <c r="S65" s="176">
        <f t="shared" si="4"/>
        <v>0</v>
      </c>
      <c r="T65" s="176">
        <f t="shared" si="4"/>
        <v>0</v>
      </c>
      <c r="U65" s="176">
        <f t="shared" si="4"/>
        <v>0</v>
      </c>
      <c r="V65" s="176">
        <f t="shared" si="4"/>
        <v>0</v>
      </c>
      <c r="W65" s="176">
        <f t="shared" si="4"/>
        <v>0</v>
      </c>
      <c r="X65" s="176">
        <f t="shared" si="4"/>
        <v>0</v>
      </c>
      <c r="Y65" s="176">
        <f t="shared" si="4"/>
        <v>0</v>
      </c>
      <c r="Z65" s="176">
        <f t="shared" si="4"/>
        <v>0</v>
      </c>
      <c r="AA65" s="176">
        <f t="shared" si="4"/>
        <v>0</v>
      </c>
      <c r="AB65" s="176">
        <f t="shared" si="4"/>
        <v>0</v>
      </c>
      <c r="AC65" s="176">
        <f t="shared" si="4"/>
        <v>0</v>
      </c>
      <c r="AD65" s="176">
        <f t="shared" si="4"/>
        <v>0</v>
      </c>
      <c r="AE65" s="176">
        <f t="shared" si="4"/>
        <v>0</v>
      </c>
      <c r="AF65" s="176">
        <f t="shared" si="4"/>
        <v>0</v>
      </c>
      <c r="AG65" s="176">
        <f t="shared" si="4"/>
        <v>3.2123348518575567E-2</v>
      </c>
    </row>
    <row r="66" spans="1:33">
      <c r="D66" s="177"/>
      <c r="E66" s="177"/>
      <c r="F66" s="177"/>
      <c r="G66" s="177"/>
      <c r="H66" s="178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9"/>
      <c r="AG66" s="180"/>
    </row>
    <row r="67" spans="1:33">
      <c r="D67" s="177"/>
      <c r="E67" s="177"/>
      <c r="F67" s="177"/>
      <c r="G67" s="177"/>
      <c r="H67" s="178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9"/>
      <c r="AG67" s="180"/>
    </row>
    <row r="68" spans="1:33">
      <c r="D68" s="177"/>
      <c r="E68" s="177"/>
      <c r="F68" s="177"/>
      <c r="G68" s="177"/>
      <c r="H68" s="178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9"/>
      <c r="AG68" s="180"/>
    </row>
    <row r="69" spans="1:33">
      <c r="D69" s="177"/>
      <c r="E69" s="177"/>
      <c r="F69" s="177"/>
      <c r="G69" s="177"/>
      <c r="H69" s="178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9"/>
      <c r="AG69" s="180"/>
    </row>
    <row r="70" spans="1:33">
      <c r="D70" s="177"/>
      <c r="E70" s="177"/>
      <c r="F70" s="177"/>
      <c r="G70" s="177"/>
      <c r="H70" s="178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9"/>
      <c r="AG70" s="180"/>
    </row>
    <row r="71" spans="1:33">
      <c r="D71" s="177"/>
      <c r="E71" s="177"/>
      <c r="F71" s="177"/>
      <c r="G71" s="177"/>
      <c r="H71" s="178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9"/>
      <c r="AG71" s="180"/>
    </row>
    <row r="72" spans="1:33">
      <c r="D72" s="177"/>
      <c r="E72" s="177"/>
      <c r="F72" s="177"/>
      <c r="G72" s="177"/>
      <c r="H72" s="178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9"/>
      <c r="AG72" s="180"/>
    </row>
    <row r="73" spans="1:33">
      <c r="D73" s="177"/>
      <c r="E73" s="177"/>
      <c r="F73" s="177"/>
      <c r="G73" s="177"/>
      <c r="H73" s="178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9"/>
      <c r="AG73" s="180"/>
    </row>
    <row r="74" spans="1:33">
      <c r="D74" s="177"/>
      <c r="E74" s="177"/>
      <c r="F74" s="177"/>
      <c r="G74" s="177"/>
      <c r="H74" s="178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9"/>
      <c r="AG74" s="18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1"/>
  <sheetViews>
    <sheetView topLeftCell="A40" workbookViewId="0">
      <selection activeCell="F6" sqref="F6"/>
    </sheetView>
  </sheetViews>
  <sheetFormatPr defaultColWidth="8.85546875" defaultRowHeight="11.25"/>
  <cols>
    <col min="1" max="1" width="37.85546875" style="46" customWidth="1"/>
    <col min="2" max="16384" width="8.85546875" style="46"/>
  </cols>
  <sheetData>
    <row r="1" spans="1:32">
      <c r="A1" s="46" t="s">
        <v>228</v>
      </c>
    </row>
    <row r="2" spans="1:32">
      <c r="A2" s="129" t="s">
        <v>230</v>
      </c>
    </row>
    <row r="3" spans="1:32" s="130" customFormat="1">
      <c r="A3" s="130" t="s">
        <v>7</v>
      </c>
      <c r="B3" s="131">
        <v>42767</v>
      </c>
      <c r="C3" s="131">
        <v>42795</v>
      </c>
      <c r="D3" s="131">
        <v>42826</v>
      </c>
      <c r="E3" s="131">
        <v>42856</v>
      </c>
      <c r="F3" s="131">
        <v>42887</v>
      </c>
      <c r="G3" s="131">
        <v>42917</v>
      </c>
      <c r="H3" s="131">
        <v>42948</v>
      </c>
      <c r="I3" s="131">
        <v>42979</v>
      </c>
      <c r="J3" s="131">
        <v>43009</v>
      </c>
      <c r="K3" s="131">
        <v>43040</v>
      </c>
      <c r="L3" s="131">
        <v>43070</v>
      </c>
      <c r="M3" s="131">
        <v>43101</v>
      </c>
      <c r="N3" s="131">
        <v>43132</v>
      </c>
      <c r="O3" s="131">
        <v>43160</v>
      </c>
      <c r="P3" s="131">
        <v>43191</v>
      </c>
      <c r="Q3" s="131">
        <v>43221</v>
      </c>
      <c r="R3" s="131">
        <v>43252</v>
      </c>
      <c r="S3" s="131">
        <v>43282</v>
      </c>
      <c r="T3" s="131">
        <v>43313</v>
      </c>
      <c r="U3" s="131">
        <v>43344</v>
      </c>
      <c r="V3" s="131">
        <v>43374</v>
      </c>
      <c r="W3" s="131">
        <v>43405</v>
      </c>
      <c r="X3" s="131">
        <v>43435</v>
      </c>
      <c r="Y3" s="131">
        <v>43466</v>
      </c>
      <c r="Z3" s="131">
        <v>43497</v>
      </c>
      <c r="AA3" s="131">
        <v>43525</v>
      </c>
      <c r="AB3" s="131">
        <v>43556</v>
      </c>
      <c r="AC3" s="131">
        <v>43586</v>
      </c>
      <c r="AD3" s="131">
        <v>43617</v>
      </c>
      <c r="AE3" s="131">
        <v>43647</v>
      </c>
      <c r="AF3" s="131">
        <v>43678</v>
      </c>
    </row>
    <row r="4" spans="1:32" s="130" customFormat="1">
      <c r="A4" s="130" t="s">
        <v>3</v>
      </c>
      <c r="B4" s="130">
        <v>258937</v>
      </c>
      <c r="C4" s="130">
        <v>589070</v>
      </c>
      <c r="D4" s="130">
        <v>588993</v>
      </c>
      <c r="E4" s="130">
        <v>455626</v>
      </c>
      <c r="F4" s="130">
        <v>418993</v>
      </c>
      <c r="G4" s="130">
        <v>432960</v>
      </c>
      <c r="H4" s="130">
        <v>432960</v>
      </c>
      <c r="I4" s="130">
        <v>418993</v>
      </c>
      <c r="J4" s="130">
        <v>393879</v>
      </c>
      <c r="K4" s="130">
        <v>321292</v>
      </c>
      <c r="L4" s="130">
        <v>332002</v>
      </c>
      <c r="M4" s="130">
        <v>332002</v>
      </c>
      <c r="N4" s="130">
        <v>273790</v>
      </c>
      <c r="O4" s="130">
        <v>303125</v>
      </c>
      <c r="P4" s="130">
        <v>293347</v>
      </c>
      <c r="Q4" s="130">
        <v>303125</v>
      </c>
      <c r="R4" s="130">
        <v>293347</v>
      </c>
      <c r="S4" s="130">
        <v>1163784</v>
      </c>
      <c r="T4" s="130">
        <v>1719459</v>
      </c>
      <c r="U4" s="130">
        <v>1696799</v>
      </c>
      <c r="V4" s="130">
        <v>1753359</v>
      </c>
      <c r="W4" s="130">
        <v>1696799</v>
      </c>
      <c r="X4" s="130">
        <v>1753359</v>
      </c>
      <c r="Y4" s="130">
        <v>1753359</v>
      </c>
      <c r="Z4" s="130">
        <v>2181801</v>
      </c>
      <c r="AA4" s="130">
        <v>2361917</v>
      </c>
      <c r="AB4" s="130">
        <v>2285726</v>
      </c>
      <c r="AC4" s="130">
        <v>2250353</v>
      </c>
      <c r="AD4" s="130">
        <v>1679055</v>
      </c>
      <c r="AE4" s="130">
        <v>2391794</v>
      </c>
    </row>
    <row r="5" spans="1:32">
      <c r="A5" s="46" t="s">
        <v>200</v>
      </c>
      <c r="B5" s="46">
        <v>91188</v>
      </c>
      <c r="C5" s="46">
        <v>100958</v>
      </c>
      <c r="D5" s="46">
        <v>97701</v>
      </c>
      <c r="E5" s="46">
        <v>100958</v>
      </c>
      <c r="F5" s="46">
        <v>97701</v>
      </c>
      <c r="G5" s="46">
        <v>100958</v>
      </c>
      <c r="H5" s="46">
        <v>100958</v>
      </c>
      <c r="I5" s="46">
        <v>97701</v>
      </c>
      <c r="J5" s="46">
        <v>61877</v>
      </c>
    </row>
    <row r="6" spans="1:32">
      <c r="A6" s="46" t="s">
        <v>201</v>
      </c>
      <c r="B6" s="46">
        <v>141667</v>
      </c>
      <c r="C6" s="46">
        <v>175667</v>
      </c>
      <c r="D6" s="46">
        <v>170000</v>
      </c>
      <c r="E6" s="46">
        <v>22667</v>
      </c>
    </row>
    <row r="7" spans="1:32">
      <c r="A7" s="46" t="s">
        <v>202</v>
      </c>
      <c r="C7" s="46">
        <v>283568</v>
      </c>
      <c r="D7" s="46">
        <v>293347</v>
      </c>
      <c r="E7" s="46">
        <v>303125</v>
      </c>
      <c r="F7" s="46">
        <v>293347</v>
      </c>
      <c r="G7" s="46">
        <v>303125</v>
      </c>
      <c r="H7" s="46">
        <v>303125</v>
      </c>
      <c r="I7" s="46">
        <v>293347</v>
      </c>
      <c r="J7" s="46">
        <v>303125</v>
      </c>
      <c r="K7" s="46">
        <v>293347</v>
      </c>
      <c r="L7" s="46">
        <v>303125</v>
      </c>
      <c r="M7" s="46">
        <v>303125</v>
      </c>
      <c r="N7" s="46">
        <v>273790</v>
      </c>
      <c r="O7" s="46">
        <v>303125</v>
      </c>
      <c r="P7" s="46">
        <v>293347</v>
      </c>
      <c r="Q7" s="46">
        <v>303125</v>
      </c>
      <c r="R7" s="46">
        <v>293347</v>
      </c>
      <c r="S7" s="46">
        <v>257561</v>
      </c>
    </row>
    <row r="8" spans="1:32">
      <c r="A8" s="46" t="s">
        <v>203</v>
      </c>
      <c r="B8" s="46">
        <v>26082</v>
      </c>
      <c r="C8" s="46">
        <v>28877</v>
      </c>
      <c r="D8" s="46">
        <v>27945</v>
      </c>
      <c r="E8" s="46">
        <v>28877</v>
      </c>
      <c r="F8" s="46">
        <v>27945</v>
      </c>
      <c r="G8" s="46">
        <v>28877</v>
      </c>
      <c r="H8" s="46">
        <v>28877</v>
      </c>
      <c r="I8" s="46">
        <v>27945</v>
      </c>
      <c r="J8" s="46">
        <v>28877</v>
      </c>
      <c r="K8" s="46">
        <v>27945</v>
      </c>
      <c r="L8" s="46">
        <v>28877</v>
      </c>
      <c r="M8" s="46">
        <v>28877</v>
      </c>
    </row>
    <row r="9" spans="1:32">
      <c r="A9" s="46" t="s">
        <v>204</v>
      </c>
      <c r="S9" s="46">
        <v>459019</v>
      </c>
      <c r="T9" s="46">
        <v>576411</v>
      </c>
      <c r="U9" s="46">
        <v>557817</v>
      </c>
      <c r="V9" s="46">
        <v>576411</v>
      </c>
      <c r="W9" s="46">
        <v>557817</v>
      </c>
      <c r="X9" s="46">
        <v>576411</v>
      </c>
      <c r="Y9" s="46">
        <v>576411</v>
      </c>
      <c r="Z9" s="46">
        <v>520629</v>
      </c>
      <c r="AA9" s="46">
        <v>576411</v>
      </c>
      <c r="AB9" s="46">
        <v>557817</v>
      </c>
      <c r="AC9" s="46">
        <v>464847</v>
      </c>
    </row>
    <row r="10" spans="1:32">
      <c r="A10" s="46" t="s">
        <v>205</v>
      </c>
      <c r="S10" s="46">
        <v>60345</v>
      </c>
      <c r="T10" s="46">
        <v>89080</v>
      </c>
      <c r="U10" s="46">
        <v>86207</v>
      </c>
      <c r="V10" s="46">
        <v>89080</v>
      </c>
      <c r="W10" s="46">
        <v>86207</v>
      </c>
      <c r="X10" s="46">
        <v>89080</v>
      </c>
      <c r="Y10" s="46">
        <v>89080</v>
      </c>
      <c r="Z10" s="46">
        <v>80460</v>
      </c>
      <c r="AA10" s="46">
        <v>89080</v>
      </c>
      <c r="AB10" s="46">
        <v>86207</v>
      </c>
      <c r="AC10" s="46">
        <v>89080</v>
      </c>
      <c r="AD10" s="46">
        <v>66092</v>
      </c>
    </row>
    <row r="11" spans="1:32">
      <c r="A11" s="46" t="s">
        <v>206</v>
      </c>
      <c r="S11" s="46">
        <v>57478</v>
      </c>
      <c r="T11" s="46">
        <v>127273</v>
      </c>
      <c r="U11" s="46">
        <v>123167</v>
      </c>
      <c r="V11" s="46">
        <v>127273</v>
      </c>
      <c r="W11" s="46">
        <v>123167</v>
      </c>
      <c r="X11" s="46">
        <v>127273</v>
      </c>
      <c r="Y11" s="46">
        <v>127273</v>
      </c>
      <c r="Z11" s="46">
        <v>114956</v>
      </c>
      <c r="AA11" s="46">
        <v>127273</v>
      </c>
      <c r="AB11" s="46">
        <v>123167</v>
      </c>
      <c r="AC11" s="46">
        <v>127273</v>
      </c>
      <c r="AD11" s="46">
        <v>94428</v>
      </c>
    </row>
    <row r="12" spans="1:32">
      <c r="A12" s="46" t="s">
        <v>207</v>
      </c>
      <c r="S12" s="46">
        <v>329380</v>
      </c>
      <c r="T12" s="46">
        <v>785445</v>
      </c>
      <c r="U12" s="46">
        <v>760108</v>
      </c>
      <c r="V12" s="46">
        <v>785445</v>
      </c>
      <c r="W12" s="46">
        <v>760108</v>
      </c>
      <c r="X12" s="46">
        <v>785445</v>
      </c>
      <c r="Y12" s="46">
        <v>785445</v>
      </c>
      <c r="Z12" s="46">
        <v>709434</v>
      </c>
      <c r="AA12" s="46">
        <v>785445</v>
      </c>
      <c r="AB12" s="46">
        <v>760108</v>
      </c>
      <c r="AC12" s="46">
        <v>785445</v>
      </c>
      <c r="AD12" s="46">
        <v>760108</v>
      </c>
      <c r="AE12" s="46">
        <v>608086</v>
      </c>
    </row>
    <row r="13" spans="1:32">
      <c r="A13" s="46" t="s">
        <v>208</v>
      </c>
      <c r="T13" s="46">
        <v>141250</v>
      </c>
      <c r="U13" s="46">
        <v>169500</v>
      </c>
      <c r="V13" s="46">
        <v>175150</v>
      </c>
      <c r="W13" s="46">
        <v>169500</v>
      </c>
      <c r="X13" s="46">
        <v>175150</v>
      </c>
      <c r="Y13" s="46">
        <v>175150</v>
      </c>
      <c r="Z13" s="46">
        <v>124300</v>
      </c>
    </row>
    <row r="14" spans="1:32">
      <c r="A14" s="46" t="s">
        <v>209</v>
      </c>
      <c r="Z14" s="46">
        <v>632022</v>
      </c>
      <c r="AA14" s="46">
        <v>783708</v>
      </c>
      <c r="AB14" s="46">
        <v>758427</v>
      </c>
      <c r="AC14" s="46">
        <v>783708</v>
      </c>
      <c r="AD14" s="46">
        <v>758427</v>
      </c>
      <c r="AE14" s="46">
        <v>783708</v>
      </c>
    </row>
    <row r="15" spans="1:32">
      <c r="A15" s="46" t="s">
        <v>210</v>
      </c>
      <c r="AE15" s="46">
        <v>1000000</v>
      </c>
    </row>
    <row r="17" spans="1:32">
      <c r="A17" s="129" t="s">
        <v>231</v>
      </c>
    </row>
    <row r="18" spans="1:32" s="130" customFormat="1">
      <c r="A18" s="130" t="s">
        <v>7</v>
      </c>
      <c r="B18" s="131">
        <v>42767</v>
      </c>
      <c r="C18" s="131">
        <v>42795</v>
      </c>
      <c r="D18" s="131">
        <v>42826</v>
      </c>
      <c r="E18" s="131">
        <v>42856</v>
      </c>
      <c r="F18" s="131">
        <v>42887</v>
      </c>
      <c r="G18" s="131">
        <v>42917</v>
      </c>
      <c r="H18" s="131">
        <v>42948</v>
      </c>
      <c r="I18" s="131">
        <v>42979</v>
      </c>
      <c r="J18" s="131">
        <v>43009</v>
      </c>
      <c r="K18" s="131">
        <v>43040</v>
      </c>
      <c r="L18" s="131">
        <v>43070</v>
      </c>
      <c r="M18" s="131">
        <v>43101</v>
      </c>
      <c r="N18" s="131">
        <v>43132</v>
      </c>
      <c r="O18" s="131">
        <v>43160</v>
      </c>
      <c r="P18" s="131">
        <v>43191</v>
      </c>
      <c r="Q18" s="131">
        <v>43221</v>
      </c>
      <c r="R18" s="131">
        <v>43252</v>
      </c>
      <c r="S18" s="131">
        <v>43282</v>
      </c>
      <c r="T18" s="131">
        <v>43313</v>
      </c>
      <c r="U18" s="131">
        <v>43344</v>
      </c>
      <c r="V18" s="131">
        <v>43374</v>
      </c>
      <c r="W18" s="131">
        <v>43405</v>
      </c>
      <c r="X18" s="131">
        <v>43435</v>
      </c>
      <c r="Y18" s="131">
        <v>43466</v>
      </c>
      <c r="Z18" s="131">
        <v>43497</v>
      </c>
      <c r="AA18" s="131">
        <v>43525</v>
      </c>
      <c r="AB18" s="131">
        <v>43556</v>
      </c>
      <c r="AC18" s="131">
        <v>43586</v>
      </c>
      <c r="AD18" s="131">
        <v>43617</v>
      </c>
      <c r="AE18" s="131">
        <v>43647</v>
      </c>
      <c r="AF18" s="131">
        <v>43678</v>
      </c>
    </row>
    <row r="19" spans="1:32" s="130" customFormat="1">
      <c r="A19" s="130" t="s">
        <v>3</v>
      </c>
      <c r="B19" s="130">
        <f>SUM($B4:B4)</f>
        <v>258937</v>
      </c>
      <c r="C19" s="130">
        <f>SUM($B4:C4)</f>
        <v>848007</v>
      </c>
      <c r="D19" s="130">
        <f>SUM($B4:D4)</f>
        <v>1437000</v>
      </c>
      <c r="E19" s="130">
        <f>SUM($B4:E4)</f>
        <v>1892626</v>
      </c>
      <c r="F19" s="130">
        <f>SUM($B4:F4)</f>
        <v>2311619</v>
      </c>
      <c r="G19" s="130">
        <f>SUM($B4:G4)</f>
        <v>2744579</v>
      </c>
      <c r="H19" s="130">
        <f>SUM($B4:H4)</f>
        <v>3177539</v>
      </c>
      <c r="I19" s="130">
        <f>SUM($B4:I4)</f>
        <v>3596532</v>
      </c>
      <c r="J19" s="130">
        <f>SUM($B4:J4)</f>
        <v>3990411</v>
      </c>
      <c r="K19" s="130">
        <f>SUM($B4:K4)</f>
        <v>4311703</v>
      </c>
      <c r="L19" s="130">
        <f>SUM($B4:L4)</f>
        <v>4643705</v>
      </c>
      <c r="M19" s="130">
        <f>SUM($B4:M4)</f>
        <v>4975707</v>
      </c>
      <c r="N19" s="130">
        <f>SUM($B4:N4)</f>
        <v>5249497</v>
      </c>
      <c r="O19" s="130">
        <f>SUM($B4:O4)</f>
        <v>5552622</v>
      </c>
      <c r="P19" s="130">
        <f>SUM($B4:P4)</f>
        <v>5845969</v>
      </c>
      <c r="Q19" s="130">
        <f>SUM($B4:Q4)</f>
        <v>6149094</v>
      </c>
      <c r="R19" s="130">
        <f>SUM($B4:R4)</f>
        <v>6442441</v>
      </c>
      <c r="S19" s="130">
        <f>SUM($B4:S4)</f>
        <v>7606225</v>
      </c>
      <c r="T19" s="130">
        <f>SUM($B4:T4)</f>
        <v>9325684</v>
      </c>
      <c r="U19" s="130">
        <f>SUM($B4:U4)</f>
        <v>11022483</v>
      </c>
      <c r="V19" s="130">
        <f>SUM($B4:V4)</f>
        <v>12775842</v>
      </c>
      <c r="W19" s="130">
        <f>SUM($B4:W4)</f>
        <v>14472641</v>
      </c>
      <c r="X19" s="130">
        <f>SUM($B4:X4)</f>
        <v>16226000</v>
      </c>
      <c r="Y19" s="130">
        <f>SUM($B4:Y4)</f>
        <v>17979359</v>
      </c>
      <c r="Z19" s="130">
        <f>SUM($B4:Z4)</f>
        <v>20161160</v>
      </c>
      <c r="AA19" s="130">
        <f>SUM($B4:AA4)</f>
        <v>22523077</v>
      </c>
      <c r="AB19" s="130">
        <f>SUM($B4:AB4)</f>
        <v>24808803</v>
      </c>
      <c r="AC19" s="130">
        <f>SUM($B4:AC4)</f>
        <v>27059156</v>
      </c>
      <c r="AD19" s="130">
        <f>SUM($B4:AD4)</f>
        <v>28738211</v>
      </c>
      <c r="AE19" s="130">
        <f>SUM($B4:AE4)</f>
        <v>31130005</v>
      </c>
    </row>
    <row r="20" spans="1:32">
      <c r="A20" s="46" t="s">
        <v>200</v>
      </c>
      <c r="B20" s="46">
        <f>SUM($B5:B5)</f>
        <v>91188</v>
      </c>
      <c r="C20" s="46">
        <f>SUM($B5:C5)</f>
        <v>192146</v>
      </c>
      <c r="D20" s="46">
        <f>SUM($B5:D5)</f>
        <v>289847</v>
      </c>
      <c r="E20" s="46">
        <f>SUM($B5:E5)</f>
        <v>390805</v>
      </c>
      <c r="F20" s="46">
        <f>SUM($B5:F5)</f>
        <v>488506</v>
      </c>
      <c r="G20" s="46">
        <f>SUM($B5:G5)</f>
        <v>589464</v>
      </c>
      <c r="H20" s="46">
        <f>SUM($B5:H5)</f>
        <v>690422</v>
      </c>
      <c r="I20" s="46">
        <f>SUM($B5:I5)</f>
        <v>788123</v>
      </c>
      <c r="J20" s="46">
        <f>SUM($B5:J5)</f>
        <v>850000</v>
      </c>
      <c r="K20" s="46">
        <f>SUM($B5:K5)</f>
        <v>850000</v>
      </c>
      <c r="L20" s="46">
        <f>SUM($B5:L5)</f>
        <v>850000</v>
      </c>
      <c r="M20" s="46">
        <f>SUM($B5:M5)</f>
        <v>850000</v>
      </c>
      <c r="N20" s="46">
        <f>SUM($B5:N5)</f>
        <v>850000</v>
      </c>
      <c r="O20" s="46">
        <f>SUM($B5:O5)</f>
        <v>850000</v>
      </c>
      <c r="P20" s="46">
        <f>SUM($B5:P5)</f>
        <v>850000</v>
      </c>
      <c r="Q20" s="46">
        <f>SUM($B5:Q5)</f>
        <v>850000</v>
      </c>
      <c r="R20" s="46">
        <f>SUM($B5:R5)</f>
        <v>850000</v>
      </c>
      <c r="S20" s="46">
        <f>SUM($B5:S5)</f>
        <v>850000</v>
      </c>
      <c r="T20" s="46">
        <f>SUM($B5:T5)</f>
        <v>850000</v>
      </c>
      <c r="U20" s="46">
        <f>SUM($B5:U5)</f>
        <v>850000</v>
      </c>
      <c r="V20" s="46">
        <f>SUM($B5:V5)</f>
        <v>850000</v>
      </c>
      <c r="W20" s="46">
        <f>SUM($B5:W5)</f>
        <v>850000</v>
      </c>
      <c r="X20" s="46">
        <f>SUM($B5:X5)</f>
        <v>850000</v>
      </c>
      <c r="Y20" s="46">
        <f>SUM($B5:Y5)</f>
        <v>850000</v>
      </c>
      <c r="Z20" s="46">
        <f>SUM($B5:Z5)</f>
        <v>850000</v>
      </c>
      <c r="AA20" s="46">
        <f>SUM($B5:AA5)</f>
        <v>850000</v>
      </c>
      <c r="AB20" s="46">
        <f>SUM($B5:AB5)</f>
        <v>850000</v>
      </c>
      <c r="AC20" s="46">
        <f>SUM($B5:AC5)</f>
        <v>850000</v>
      </c>
      <c r="AD20" s="46">
        <f>SUM($B5:AD5)</f>
        <v>850000</v>
      </c>
      <c r="AE20" s="46">
        <f>SUM($B5:AE5)</f>
        <v>850000</v>
      </c>
    </row>
    <row r="21" spans="1:32">
      <c r="A21" s="46" t="s">
        <v>201</v>
      </c>
      <c r="B21" s="46">
        <f>SUM($B6:B6)</f>
        <v>141667</v>
      </c>
      <c r="C21" s="46">
        <f>SUM($B6:C6)</f>
        <v>317334</v>
      </c>
      <c r="D21" s="46">
        <f>SUM($B6:D6)</f>
        <v>487334</v>
      </c>
      <c r="E21" s="46">
        <f>SUM($B6:E6)</f>
        <v>510001</v>
      </c>
      <c r="F21" s="46">
        <f>SUM($B6:F6)</f>
        <v>510001</v>
      </c>
      <c r="G21" s="46">
        <f>SUM($B6:G6)</f>
        <v>510001</v>
      </c>
      <c r="H21" s="46">
        <f>SUM($B6:H6)</f>
        <v>510001</v>
      </c>
      <c r="I21" s="46">
        <f>SUM($B6:I6)</f>
        <v>510001</v>
      </c>
      <c r="J21" s="46">
        <f>SUM($B6:J6)</f>
        <v>510001</v>
      </c>
      <c r="K21" s="46">
        <f>SUM($B6:K6)</f>
        <v>510001</v>
      </c>
      <c r="L21" s="46">
        <f>SUM($B6:L6)</f>
        <v>510001</v>
      </c>
      <c r="M21" s="46">
        <f>SUM($B6:M6)</f>
        <v>510001</v>
      </c>
      <c r="N21" s="46">
        <f>SUM($B6:N6)</f>
        <v>510001</v>
      </c>
      <c r="O21" s="46">
        <f>SUM($B6:O6)</f>
        <v>510001</v>
      </c>
      <c r="P21" s="46">
        <f>SUM($B6:P6)</f>
        <v>510001</v>
      </c>
      <c r="Q21" s="46">
        <f>SUM($B6:Q6)</f>
        <v>510001</v>
      </c>
      <c r="R21" s="46">
        <f>SUM($B6:R6)</f>
        <v>510001</v>
      </c>
      <c r="S21" s="46">
        <f>SUM($B6:S6)</f>
        <v>510001</v>
      </c>
      <c r="T21" s="46">
        <f>SUM($B6:T6)</f>
        <v>510001</v>
      </c>
      <c r="U21" s="46">
        <f>SUM($B6:U6)</f>
        <v>510001</v>
      </c>
      <c r="V21" s="46">
        <f>SUM($B6:V6)</f>
        <v>510001</v>
      </c>
      <c r="W21" s="46">
        <f>SUM($B6:W6)</f>
        <v>510001</v>
      </c>
      <c r="X21" s="46">
        <f>SUM($B6:X6)</f>
        <v>510001</v>
      </c>
      <c r="Y21" s="46">
        <f>SUM($B6:Y6)</f>
        <v>510001</v>
      </c>
      <c r="Z21" s="46">
        <f>SUM($B6:Z6)</f>
        <v>510001</v>
      </c>
      <c r="AA21" s="46">
        <f>SUM($B6:AA6)</f>
        <v>510001</v>
      </c>
      <c r="AB21" s="46">
        <f>SUM($B6:AB6)</f>
        <v>510001</v>
      </c>
      <c r="AC21" s="46">
        <f>SUM($B6:AC6)</f>
        <v>510001</v>
      </c>
      <c r="AD21" s="46">
        <f>SUM($B6:AD6)</f>
        <v>510001</v>
      </c>
      <c r="AE21" s="46">
        <f>SUM($B6:AE6)</f>
        <v>510001</v>
      </c>
    </row>
    <row r="22" spans="1:32">
      <c r="A22" s="46" t="s">
        <v>202</v>
      </c>
      <c r="B22" s="46">
        <f>SUM($B7:B7)</f>
        <v>0</v>
      </c>
      <c r="C22" s="46">
        <f>SUM($B7:C7)</f>
        <v>283568</v>
      </c>
      <c r="D22" s="46">
        <f>SUM($B7:D7)</f>
        <v>576915</v>
      </c>
      <c r="E22" s="46">
        <f>SUM($B7:E7)</f>
        <v>880040</v>
      </c>
      <c r="F22" s="46">
        <f>SUM($B7:F7)</f>
        <v>1173387</v>
      </c>
      <c r="G22" s="46">
        <f>SUM($B7:G7)</f>
        <v>1476512</v>
      </c>
      <c r="H22" s="46">
        <f>SUM($B7:H7)</f>
        <v>1779637</v>
      </c>
      <c r="I22" s="46">
        <f>SUM($B7:I7)</f>
        <v>2072984</v>
      </c>
      <c r="J22" s="46">
        <f>SUM($B7:J7)</f>
        <v>2376109</v>
      </c>
      <c r="K22" s="46">
        <f>SUM($B7:K7)</f>
        <v>2669456</v>
      </c>
      <c r="L22" s="46">
        <f>SUM($B7:L7)</f>
        <v>2972581</v>
      </c>
      <c r="M22" s="46">
        <f>SUM($B7:M7)</f>
        <v>3275706</v>
      </c>
      <c r="N22" s="46">
        <f>SUM($B7:N7)</f>
        <v>3549496</v>
      </c>
      <c r="O22" s="46">
        <f>SUM($B7:O7)</f>
        <v>3852621</v>
      </c>
      <c r="P22" s="46">
        <f>SUM($B7:P7)</f>
        <v>4145968</v>
      </c>
      <c r="Q22" s="46">
        <f>SUM($B7:Q7)</f>
        <v>4449093</v>
      </c>
      <c r="R22" s="46">
        <f>SUM($B7:R7)</f>
        <v>4742440</v>
      </c>
      <c r="S22" s="46">
        <f>SUM($B7:S7)</f>
        <v>5000001</v>
      </c>
      <c r="T22" s="46">
        <f>SUM($B7:T7)</f>
        <v>5000001</v>
      </c>
      <c r="U22" s="46">
        <f>SUM($B7:U7)</f>
        <v>5000001</v>
      </c>
      <c r="V22" s="46">
        <f>SUM($B7:V7)</f>
        <v>5000001</v>
      </c>
      <c r="W22" s="46">
        <f>SUM($B7:W7)</f>
        <v>5000001</v>
      </c>
      <c r="X22" s="46">
        <f>SUM($B7:X7)</f>
        <v>5000001</v>
      </c>
      <c r="Y22" s="46">
        <f>SUM($B7:Y7)</f>
        <v>5000001</v>
      </c>
      <c r="Z22" s="46">
        <f>SUM($B7:Z7)</f>
        <v>5000001</v>
      </c>
      <c r="AA22" s="46">
        <f>SUM($B7:AA7)</f>
        <v>5000001</v>
      </c>
      <c r="AB22" s="46">
        <f>SUM($B7:AB7)</f>
        <v>5000001</v>
      </c>
      <c r="AC22" s="46">
        <f>SUM($B7:AC7)</f>
        <v>5000001</v>
      </c>
      <c r="AD22" s="46">
        <f>SUM($B7:AD7)</f>
        <v>5000001</v>
      </c>
      <c r="AE22" s="46">
        <f>SUM($B7:AE7)</f>
        <v>5000001</v>
      </c>
    </row>
    <row r="23" spans="1:32">
      <c r="A23" s="46" t="s">
        <v>203</v>
      </c>
      <c r="B23" s="46">
        <f>SUM($B8:B8)</f>
        <v>26082</v>
      </c>
      <c r="C23" s="46">
        <f>SUM($B8:C8)</f>
        <v>54959</v>
      </c>
      <c r="D23" s="46">
        <f>SUM($B8:D8)</f>
        <v>82904</v>
      </c>
      <c r="E23" s="46">
        <f>SUM($B8:E8)</f>
        <v>111781</v>
      </c>
      <c r="F23" s="46">
        <f>SUM($B8:F8)</f>
        <v>139726</v>
      </c>
      <c r="G23" s="46">
        <f>SUM($B8:G8)</f>
        <v>168603</v>
      </c>
      <c r="H23" s="46">
        <f>SUM($B8:H8)</f>
        <v>197480</v>
      </c>
      <c r="I23" s="46">
        <f>SUM($B8:I8)</f>
        <v>225425</v>
      </c>
      <c r="J23" s="46">
        <f>SUM($B8:J8)</f>
        <v>254302</v>
      </c>
      <c r="K23" s="46">
        <f>SUM($B8:K8)</f>
        <v>282247</v>
      </c>
      <c r="L23" s="46">
        <f>SUM($B8:L8)</f>
        <v>311124</v>
      </c>
      <c r="M23" s="46">
        <f>SUM($B8:M8)</f>
        <v>340001</v>
      </c>
      <c r="N23" s="46">
        <f>SUM($B8:N8)</f>
        <v>340001</v>
      </c>
      <c r="O23" s="46">
        <f>SUM($B8:O8)</f>
        <v>340001</v>
      </c>
      <c r="P23" s="46">
        <f>SUM($B8:P8)</f>
        <v>340001</v>
      </c>
      <c r="Q23" s="46">
        <f>SUM($B8:Q8)</f>
        <v>340001</v>
      </c>
      <c r="R23" s="46">
        <f>SUM($B8:R8)</f>
        <v>340001</v>
      </c>
      <c r="S23" s="46">
        <f>SUM($B8:S8)</f>
        <v>340001</v>
      </c>
      <c r="T23" s="46">
        <f>SUM($B8:T8)</f>
        <v>340001</v>
      </c>
      <c r="U23" s="46">
        <f>SUM($B8:U8)</f>
        <v>340001</v>
      </c>
      <c r="V23" s="46">
        <f>SUM($B8:V8)</f>
        <v>340001</v>
      </c>
      <c r="W23" s="46">
        <f>SUM($B8:W8)</f>
        <v>340001</v>
      </c>
      <c r="X23" s="46">
        <f>SUM($B8:X8)</f>
        <v>340001</v>
      </c>
      <c r="Y23" s="46">
        <f>SUM($B8:Y8)</f>
        <v>340001</v>
      </c>
      <c r="Z23" s="46">
        <f>SUM($B8:Z8)</f>
        <v>340001</v>
      </c>
      <c r="AA23" s="46">
        <f>SUM($B8:AA8)</f>
        <v>340001</v>
      </c>
      <c r="AB23" s="46">
        <f>SUM($B8:AB8)</f>
        <v>340001</v>
      </c>
      <c r="AC23" s="46">
        <f>SUM($B8:AC8)</f>
        <v>340001</v>
      </c>
      <c r="AD23" s="46">
        <f>SUM($B8:AD8)</f>
        <v>340001</v>
      </c>
      <c r="AE23" s="46">
        <f>SUM($B8:AE8)</f>
        <v>340001</v>
      </c>
    </row>
    <row r="24" spans="1:32">
      <c r="A24" s="46" t="s">
        <v>204</v>
      </c>
      <c r="B24" s="46">
        <f>SUM($B9:B9)</f>
        <v>0</v>
      </c>
      <c r="C24" s="46">
        <f>SUM($B9:C9)</f>
        <v>0</v>
      </c>
      <c r="D24" s="46">
        <f>SUM($B9:D9)</f>
        <v>0</v>
      </c>
      <c r="E24" s="46">
        <f>SUM($B9:E9)</f>
        <v>0</v>
      </c>
      <c r="F24" s="46">
        <f>SUM($B9:F9)</f>
        <v>0</v>
      </c>
      <c r="G24" s="46">
        <f>SUM($B9:G9)</f>
        <v>0</v>
      </c>
      <c r="H24" s="46">
        <f>SUM($B9:H9)</f>
        <v>0</v>
      </c>
      <c r="I24" s="46">
        <f>SUM($B9:I9)</f>
        <v>0</v>
      </c>
      <c r="J24" s="46">
        <f>SUM($B9:J9)</f>
        <v>0</v>
      </c>
      <c r="K24" s="46">
        <f>SUM($B9:K9)</f>
        <v>0</v>
      </c>
      <c r="L24" s="46">
        <f>SUM($B9:L9)</f>
        <v>0</v>
      </c>
      <c r="M24" s="46">
        <f>SUM($B9:M9)</f>
        <v>0</v>
      </c>
      <c r="N24" s="46">
        <f>SUM($B9:N9)</f>
        <v>0</v>
      </c>
      <c r="O24" s="46">
        <f>SUM($B9:O9)</f>
        <v>0</v>
      </c>
      <c r="P24" s="46">
        <f>SUM($B9:P9)</f>
        <v>0</v>
      </c>
      <c r="Q24" s="46">
        <f>SUM($B9:Q9)</f>
        <v>0</v>
      </c>
      <c r="R24" s="46">
        <f>SUM($B9:R9)</f>
        <v>0</v>
      </c>
      <c r="S24" s="46">
        <f>SUM($B9:S9)</f>
        <v>459019</v>
      </c>
      <c r="T24" s="46">
        <f>SUM($B9:T9)</f>
        <v>1035430</v>
      </c>
      <c r="U24" s="46">
        <f>SUM($B9:U9)</f>
        <v>1593247</v>
      </c>
      <c r="V24" s="46">
        <f>SUM($B9:V9)</f>
        <v>2169658</v>
      </c>
      <c r="W24" s="46">
        <f>SUM($B9:W9)</f>
        <v>2727475</v>
      </c>
      <c r="X24" s="46">
        <f>SUM($B9:X9)</f>
        <v>3303886</v>
      </c>
      <c r="Y24" s="46">
        <f>SUM($B9:Y9)</f>
        <v>3880297</v>
      </c>
      <c r="Z24" s="46">
        <f>SUM($B9:Z9)</f>
        <v>4400926</v>
      </c>
      <c r="AA24" s="46">
        <f>SUM($B9:AA9)</f>
        <v>4977337</v>
      </c>
      <c r="AB24" s="46">
        <f>SUM($B9:AB9)</f>
        <v>5535154</v>
      </c>
      <c r="AC24" s="46">
        <f>SUM($B9:AC9)</f>
        <v>6000001</v>
      </c>
      <c r="AD24" s="46">
        <f>SUM($B9:AD9)</f>
        <v>6000001</v>
      </c>
      <c r="AE24" s="46">
        <f>SUM($B9:AE9)</f>
        <v>6000001</v>
      </c>
    </row>
    <row r="25" spans="1:32">
      <c r="A25" s="46" t="s">
        <v>205</v>
      </c>
      <c r="B25" s="46">
        <f>SUM($B10:B10)</f>
        <v>0</v>
      </c>
      <c r="C25" s="46">
        <f>SUM($B10:C10)</f>
        <v>0</v>
      </c>
      <c r="D25" s="46">
        <f>SUM($B10:D10)</f>
        <v>0</v>
      </c>
      <c r="E25" s="46">
        <f>SUM($B10:E10)</f>
        <v>0</v>
      </c>
      <c r="F25" s="46">
        <f>SUM($B10:F10)</f>
        <v>0</v>
      </c>
      <c r="G25" s="46">
        <f>SUM($B10:G10)</f>
        <v>0</v>
      </c>
      <c r="H25" s="46">
        <f>SUM($B10:H10)</f>
        <v>0</v>
      </c>
      <c r="I25" s="46">
        <f>SUM($B10:I10)</f>
        <v>0</v>
      </c>
      <c r="J25" s="46">
        <f>SUM($B10:J10)</f>
        <v>0</v>
      </c>
      <c r="K25" s="46">
        <f>SUM($B10:K10)</f>
        <v>0</v>
      </c>
      <c r="L25" s="46">
        <f>SUM($B10:L10)</f>
        <v>0</v>
      </c>
      <c r="M25" s="46">
        <f>SUM($B10:M10)</f>
        <v>0</v>
      </c>
      <c r="N25" s="46">
        <f>SUM($B10:N10)</f>
        <v>0</v>
      </c>
      <c r="O25" s="46">
        <f>SUM($B10:O10)</f>
        <v>0</v>
      </c>
      <c r="P25" s="46">
        <f>SUM($B10:P10)</f>
        <v>0</v>
      </c>
      <c r="Q25" s="46">
        <f>SUM($B10:Q10)</f>
        <v>0</v>
      </c>
      <c r="R25" s="46">
        <f>SUM($B10:R10)</f>
        <v>0</v>
      </c>
      <c r="S25" s="46">
        <f>SUM($B10:S10)</f>
        <v>60345</v>
      </c>
      <c r="T25" s="46">
        <f>SUM($B10:T10)</f>
        <v>149425</v>
      </c>
      <c r="U25" s="46">
        <f>SUM($B10:U10)</f>
        <v>235632</v>
      </c>
      <c r="V25" s="46">
        <f>SUM($B10:V10)</f>
        <v>324712</v>
      </c>
      <c r="W25" s="46">
        <f>SUM($B10:W10)</f>
        <v>410919</v>
      </c>
      <c r="X25" s="46">
        <f>SUM($B10:X10)</f>
        <v>499999</v>
      </c>
      <c r="Y25" s="46">
        <f>SUM($B10:Y10)</f>
        <v>589079</v>
      </c>
      <c r="Z25" s="46">
        <f>SUM($B10:Z10)</f>
        <v>669539</v>
      </c>
      <c r="AA25" s="46">
        <f>SUM($B10:AA10)</f>
        <v>758619</v>
      </c>
      <c r="AB25" s="46">
        <f>SUM($B10:AB10)</f>
        <v>844826</v>
      </c>
      <c r="AC25" s="46">
        <f>SUM($B10:AC10)</f>
        <v>933906</v>
      </c>
      <c r="AD25" s="46">
        <f>SUM($B10:AD10)</f>
        <v>999998</v>
      </c>
      <c r="AE25" s="46">
        <f>SUM($B10:AE10)</f>
        <v>999998</v>
      </c>
    </row>
    <row r="26" spans="1:32">
      <c r="A26" s="46" t="s">
        <v>206</v>
      </c>
      <c r="B26" s="46">
        <f>SUM($B11:B11)</f>
        <v>0</v>
      </c>
      <c r="C26" s="46">
        <f>SUM($B11:C11)</f>
        <v>0</v>
      </c>
      <c r="D26" s="46">
        <f>SUM($B11:D11)</f>
        <v>0</v>
      </c>
      <c r="E26" s="46">
        <f>SUM($B11:E11)</f>
        <v>0</v>
      </c>
      <c r="F26" s="46">
        <f>SUM($B11:F11)</f>
        <v>0</v>
      </c>
      <c r="G26" s="46">
        <f>SUM($B11:G11)</f>
        <v>0</v>
      </c>
      <c r="H26" s="46">
        <f>SUM($B11:H11)</f>
        <v>0</v>
      </c>
      <c r="I26" s="46">
        <f>SUM($B11:I11)</f>
        <v>0</v>
      </c>
      <c r="J26" s="46">
        <f>SUM($B11:J11)</f>
        <v>0</v>
      </c>
      <c r="K26" s="46">
        <f>SUM($B11:K11)</f>
        <v>0</v>
      </c>
      <c r="L26" s="46">
        <f>SUM($B11:L11)</f>
        <v>0</v>
      </c>
      <c r="M26" s="46">
        <f>SUM($B11:M11)</f>
        <v>0</v>
      </c>
      <c r="N26" s="46">
        <f>SUM($B11:N11)</f>
        <v>0</v>
      </c>
      <c r="O26" s="46">
        <f>SUM($B11:O11)</f>
        <v>0</v>
      </c>
      <c r="P26" s="46">
        <f>SUM($B11:P11)</f>
        <v>0</v>
      </c>
      <c r="Q26" s="46">
        <f>SUM($B11:Q11)</f>
        <v>0</v>
      </c>
      <c r="R26" s="46">
        <f>SUM($B11:R11)</f>
        <v>0</v>
      </c>
      <c r="S26" s="46">
        <f>SUM($B11:S11)</f>
        <v>57478</v>
      </c>
      <c r="T26" s="46">
        <f>SUM($B11:T11)</f>
        <v>184751</v>
      </c>
      <c r="U26" s="46">
        <f>SUM($B11:U11)</f>
        <v>307918</v>
      </c>
      <c r="V26" s="46">
        <f>SUM($B11:V11)</f>
        <v>435191</v>
      </c>
      <c r="W26" s="46">
        <f>SUM($B11:W11)</f>
        <v>558358</v>
      </c>
      <c r="X26" s="46">
        <f>SUM($B11:X11)</f>
        <v>685631</v>
      </c>
      <c r="Y26" s="46">
        <f>SUM($B11:Y11)</f>
        <v>812904</v>
      </c>
      <c r="Z26" s="46">
        <f>SUM($B11:Z11)</f>
        <v>927860</v>
      </c>
      <c r="AA26" s="46">
        <f>SUM($B11:AA11)</f>
        <v>1055133</v>
      </c>
      <c r="AB26" s="46">
        <f>SUM($B11:AB11)</f>
        <v>1178300</v>
      </c>
      <c r="AC26" s="46">
        <f>SUM($B11:AC11)</f>
        <v>1305573</v>
      </c>
      <c r="AD26" s="46">
        <f>SUM($B11:AD11)</f>
        <v>1400001</v>
      </c>
      <c r="AE26" s="46">
        <f>SUM($B11:AE11)</f>
        <v>1400001</v>
      </c>
    </row>
    <row r="27" spans="1:32">
      <c r="A27" s="46" t="s">
        <v>207</v>
      </c>
      <c r="B27" s="46">
        <f>SUM($B12:B12)</f>
        <v>0</v>
      </c>
      <c r="C27" s="46">
        <f>SUM($B12:C12)</f>
        <v>0</v>
      </c>
      <c r="D27" s="46">
        <f>SUM($B12:D12)</f>
        <v>0</v>
      </c>
      <c r="E27" s="46">
        <f>SUM($B12:E12)</f>
        <v>0</v>
      </c>
      <c r="F27" s="46">
        <f>SUM($B12:F12)</f>
        <v>0</v>
      </c>
      <c r="G27" s="46">
        <f>SUM($B12:G12)</f>
        <v>0</v>
      </c>
      <c r="H27" s="46">
        <f>SUM($B12:H12)</f>
        <v>0</v>
      </c>
      <c r="I27" s="46">
        <f>SUM($B12:I12)</f>
        <v>0</v>
      </c>
      <c r="J27" s="46">
        <f>SUM($B12:J12)</f>
        <v>0</v>
      </c>
      <c r="K27" s="46">
        <f>SUM($B12:K12)</f>
        <v>0</v>
      </c>
      <c r="L27" s="46">
        <f>SUM($B12:L12)</f>
        <v>0</v>
      </c>
      <c r="M27" s="46">
        <f>SUM($B12:M12)</f>
        <v>0</v>
      </c>
      <c r="N27" s="46">
        <f>SUM($B12:N12)</f>
        <v>0</v>
      </c>
      <c r="O27" s="46">
        <f>SUM($B12:O12)</f>
        <v>0</v>
      </c>
      <c r="P27" s="46">
        <f>SUM($B12:P12)</f>
        <v>0</v>
      </c>
      <c r="Q27" s="46">
        <f>SUM($B12:Q12)</f>
        <v>0</v>
      </c>
      <c r="R27" s="46">
        <f>SUM($B12:R12)</f>
        <v>0</v>
      </c>
      <c r="S27" s="46">
        <f>SUM($B12:S12)</f>
        <v>329380</v>
      </c>
      <c r="T27" s="46">
        <f>SUM($B12:T12)</f>
        <v>1114825</v>
      </c>
      <c r="U27" s="46">
        <f>SUM($B12:U12)</f>
        <v>1874933</v>
      </c>
      <c r="V27" s="46">
        <f>SUM($B12:V12)</f>
        <v>2660378</v>
      </c>
      <c r="W27" s="46">
        <f>SUM($B12:W12)</f>
        <v>3420486</v>
      </c>
      <c r="X27" s="46">
        <f>SUM($B12:X12)</f>
        <v>4205931</v>
      </c>
      <c r="Y27" s="46">
        <f>SUM($B12:Y12)</f>
        <v>4991376</v>
      </c>
      <c r="Z27" s="46">
        <f>SUM($B12:Z12)</f>
        <v>5700810</v>
      </c>
      <c r="AA27" s="46">
        <f>SUM($B12:AA12)</f>
        <v>6486255</v>
      </c>
      <c r="AB27" s="46">
        <f>SUM($B12:AB12)</f>
        <v>7246363</v>
      </c>
      <c r="AC27" s="46">
        <f>SUM($B12:AC12)</f>
        <v>8031808</v>
      </c>
      <c r="AD27" s="46">
        <f>SUM($B12:AD12)</f>
        <v>8791916</v>
      </c>
      <c r="AE27" s="46">
        <f>SUM($B12:AE12)</f>
        <v>9400002</v>
      </c>
    </row>
    <row r="28" spans="1:32">
      <c r="A28" s="46" t="s">
        <v>208</v>
      </c>
      <c r="B28" s="46">
        <f>SUM($B13:B13)</f>
        <v>0</v>
      </c>
      <c r="C28" s="46">
        <f>SUM($B13:C13)</f>
        <v>0</v>
      </c>
      <c r="D28" s="46">
        <f>SUM($B13:D13)</f>
        <v>0</v>
      </c>
      <c r="E28" s="46">
        <f>SUM($B13:E13)</f>
        <v>0</v>
      </c>
      <c r="F28" s="46">
        <f>SUM($B13:F13)</f>
        <v>0</v>
      </c>
      <c r="G28" s="46">
        <f>SUM($B13:G13)</f>
        <v>0</v>
      </c>
      <c r="H28" s="46">
        <f>SUM($B13:H13)</f>
        <v>0</v>
      </c>
      <c r="I28" s="46">
        <f>SUM($B13:I13)</f>
        <v>0</v>
      </c>
      <c r="J28" s="46">
        <f>SUM($B13:J13)</f>
        <v>0</v>
      </c>
      <c r="K28" s="46">
        <f>SUM($B13:K13)</f>
        <v>0</v>
      </c>
      <c r="L28" s="46">
        <f>SUM($B13:L13)</f>
        <v>0</v>
      </c>
      <c r="M28" s="46">
        <f>SUM($B13:M13)</f>
        <v>0</v>
      </c>
      <c r="N28" s="46">
        <f>SUM($B13:N13)</f>
        <v>0</v>
      </c>
      <c r="O28" s="46">
        <f>SUM($B13:O13)</f>
        <v>0</v>
      </c>
      <c r="P28" s="46">
        <f>SUM($B13:P13)</f>
        <v>0</v>
      </c>
      <c r="Q28" s="46">
        <f>SUM($B13:Q13)</f>
        <v>0</v>
      </c>
      <c r="R28" s="46">
        <f>SUM($B13:R13)</f>
        <v>0</v>
      </c>
      <c r="S28" s="46">
        <f>SUM($B13:S13)</f>
        <v>0</v>
      </c>
      <c r="T28" s="46">
        <f>SUM($B13:T13)</f>
        <v>141250</v>
      </c>
      <c r="U28" s="46">
        <f>SUM($B13:U13)</f>
        <v>310750</v>
      </c>
      <c r="V28" s="46">
        <f>SUM($B13:V13)</f>
        <v>485900</v>
      </c>
      <c r="W28" s="46">
        <f>SUM($B13:W13)</f>
        <v>655400</v>
      </c>
      <c r="X28" s="46">
        <f>SUM($B13:X13)</f>
        <v>830550</v>
      </c>
      <c r="Y28" s="46">
        <f>SUM($B13:Y13)</f>
        <v>1005700</v>
      </c>
      <c r="Z28" s="46">
        <f>SUM($B13:Z13)</f>
        <v>1130000</v>
      </c>
      <c r="AA28" s="46">
        <f>SUM($B13:AA13)</f>
        <v>1130000</v>
      </c>
      <c r="AB28" s="46">
        <f>SUM($B13:AB13)</f>
        <v>1130000</v>
      </c>
      <c r="AC28" s="46">
        <f>SUM($B13:AC13)</f>
        <v>1130000</v>
      </c>
      <c r="AD28" s="46">
        <f>SUM($B13:AD13)</f>
        <v>1130000</v>
      </c>
      <c r="AE28" s="46">
        <f>SUM($B13:AE13)</f>
        <v>1130000</v>
      </c>
    </row>
    <row r="29" spans="1:32">
      <c r="A29" s="46" t="s">
        <v>209</v>
      </c>
      <c r="B29" s="46">
        <f>SUM($B14:B14)</f>
        <v>0</v>
      </c>
      <c r="C29" s="46">
        <f>SUM($B14:C14)</f>
        <v>0</v>
      </c>
      <c r="D29" s="46">
        <f>SUM($B14:D14)</f>
        <v>0</v>
      </c>
      <c r="E29" s="46">
        <f>SUM($B14:E14)</f>
        <v>0</v>
      </c>
      <c r="F29" s="46">
        <f>SUM($B14:F14)</f>
        <v>0</v>
      </c>
      <c r="G29" s="46">
        <f>SUM($B14:G14)</f>
        <v>0</v>
      </c>
      <c r="H29" s="46">
        <f>SUM($B14:H14)</f>
        <v>0</v>
      </c>
      <c r="I29" s="46">
        <f>SUM($B14:I14)</f>
        <v>0</v>
      </c>
      <c r="J29" s="46">
        <f>SUM($B14:J14)</f>
        <v>0</v>
      </c>
      <c r="K29" s="46">
        <f>SUM($B14:K14)</f>
        <v>0</v>
      </c>
      <c r="L29" s="46">
        <f>SUM($B14:L14)</f>
        <v>0</v>
      </c>
      <c r="M29" s="46">
        <f>SUM($B14:M14)</f>
        <v>0</v>
      </c>
      <c r="N29" s="46">
        <f>SUM($B14:N14)</f>
        <v>0</v>
      </c>
      <c r="O29" s="46">
        <f>SUM($B14:O14)</f>
        <v>0</v>
      </c>
      <c r="P29" s="46">
        <f>SUM($B14:P14)</f>
        <v>0</v>
      </c>
      <c r="Q29" s="46">
        <f>SUM($B14:Q14)</f>
        <v>0</v>
      </c>
      <c r="R29" s="46">
        <f>SUM($B14:R14)</f>
        <v>0</v>
      </c>
      <c r="S29" s="46">
        <f>SUM($B14:S14)</f>
        <v>0</v>
      </c>
      <c r="T29" s="46">
        <f>SUM($B14:T14)</f>
        <v>0</v>
      </c>
      <c r="U29" s="46">
        <f>SUM($B14:U14)</f>
        <v>0</v>
      </c>
      <c r="V29" s="46">
        <f>SUM($B14:V14)</f>
        <v>0</v>
      </c>
      <c r="W29" s="46">
        <f>SUM($B14:W14)</f>
        <v>0</v>
      </c>
      <c r="X29" s="46">
        <f>SUM($B14:X14)</f>
        <v>0</v>
      </c>
      <c r="Y29" s="46">
        <f>SUM($B14:Y14)</f>
        <v>0</v>
      </c>
      <c r="Z29" s="46">
        <f>SUM($B14:Z14)</f>
        <v>632022</v>
      </c>
      <c r="AA29" s="46">
        <f>SUM($B14:AA14)</f>
        <v>1415730</v>
      </c>
      <c r="AB29" s="46">
        <f>SUM($B14:AB14)</f>
        <v>2174157</v>
      </c>
      <c r="AC29" s="46">
        <f>SUM($B14:AC14)</f>
        <v>2957865</v>
      </c>
      <c r="AD29" s="46">
        <f>SUM($B14:AD14)</f>
        <v>3716292</v>
      </c>
      <c r="AE29" s="46">
        <f>SUM($B14:AE14)</f>
        <v>4500000</v>
      </c>
    </row>
    <row r="30" spans="1:32">
      <c r="A30" s="46" t="s">
        <v>210</v>
      </c>
      <c r="B30" s="46">
        <f>SUM($B15:B15)</f>
        <v>0</v>
      </c>
      <c r="C30" s="46">
        <f>SUM($B15:C15)</f>
        <v>0</v>
      </c>
      <c r="D30" s="46">
        <f>SUM($B15:D15)</f>
        <v>0</v>
      </c>
      <c r="E30" s="46">
        <f>SUM($B15:E15)</f>
        <v>0</v>
      </c>
      <c r="F30" s="46">
        <f>SUM($B15:F15)</f>
        <v>0</v>
      </c>
      <c r="G30" s="46">
        <f>SUM($B15:G15)</f>
        <v>0</v>
      </c>
      <c r="H30" s="46">
        <f>SUM($B15:H15)</f>
        <v>0</v>
      </c>
      <c r="I30" s="46">
        <f>SUM($B15:I15)</f>
        <v>0</v>
      </c>
      <c r="J30" s="46">
        <f>SUM($B15:J15)</f>
        <v>0</v>
      </c>
      <c r="K30" s="46">
        <f>SUM($B15:K15)</f>
        <v>0</v>
      </c>
      <c r="L30" s="46">
        <f>SUM($B15:L15)</f>
        <v>0</v>
      </c>
      <c r="M30" s="46">
        <f>SUM($B15:M15)</f>
        <v>0</v>
      </c>
      <c r="N30" s="46">
        <f>SUM($B15:N15)</f>
        <v>0</v>
      </c>
      <c r="O30" s="46">
        <f>SUM($B15:O15)</f>
        <v>0</v>
      </c>
      <c r="P30" s="46">
        <f>SUM($B15:P15)</f>
        <v>0</v>
      </c>
      <c r="Q30" s="46">
        <f>SUM($B15:Q15)</f>
        <v>0</v>
      </c>
      <c r="R30" s="46">
        <f>SUM($B15:R15)</f>
        <v>0</v>
      </c>
      <c r="S30" s="46">
        <f>SUM($B15:S15)</f>
        <v>0</v>
      </c>
      <c r="T30" s="46">
        <f>SUM($B15:T15)</f>
        <v>0</v>
      </c>
      <c r="U30" s="46">
        <f>SUM($B15:U15)</f>
        <v>0</v>
      </c>
      <c r="V30" s="46">
        <f>SUM($B15:V15)</f>
        <v>0</v>
      </c>
      <c r="W30" s="46">
        <f>SUM($B15:W15)</f>
        <v>0</v>
      </c>
      <c r="X30" s="46">
        <f>SUM($B15:X15)</f>
        <v>0</v>
      </c>
      <c r="Y30" s="46">
        <f>SUM($B15:Y15)</f>
        <v>0</v>
      </c>
      <c r="Z30" s="46">
        <f>SUM($B15:Z15)</f>
        <v>0</v>
      </c>
      <c r="AA30" s="46">
        <f>SUM($B15:AA15)</f>
        <v>0</v>
      </c>
      <c r="AB30" s="46">
        <f>SUM($B15:AB15)</f>
        <v>0</v>
      </c>
      <c r="AC30" s="46">
        <f>SUM($B15:AC15)</f>
        <v>0</v>
      </c>
      <c r="AD30" s="46">
        <f>SUM($B15:AD15)</f>
        <v>0</v>
      </c>
      <c r="AE30" s="46">
        <f>SUM($B15:AE15)</f>
        <v>1000000</v>
      </c>
    </row>
    <row r="33" spans="1:35">
      <c r="A33" s="129" t="s">
        <v>236</v>
      </c>
    </row>
    <row r="34" spans="1:35" s="132" customFormat="1">
      <c r="A34" s="132" t="s">
        <v>7</v>
      </c>
      <c r="B34" s="133">
        <v>42767</v>
      </c>
      <c r="C34" s="133">
        <v>42795</v>
      </c>
      <c r="D34" s="133">
        <v>42826</v>
      </c>
      <c r="E34" s="133">
        <v>42856</v>
      </c>
      <c r="F34" s="133">
        <v>42887</v>
      </c>
      <c r="G34" s="133">
        <v>42917</v>
      </c>
      <c r="H34" s="133">
        <v>42948</v>
      </c>
      <c r="I34" s="133">
        <v>42979</v>
      </c>
      <c r="J34" s="133">
        <v>43009</v>
      </c>
      <c r="K34" s="133">
        <v>43040</v>
      </c>
      <c r="L34" s="133">
        <v>43070</v>
      </c>
      <c r="M34" s="133">
        <v>43101</v>
      </c>
      <c r="N34" s="133">
        <v>43132</v>
      </c>
      <c r="O34" s="133">
        <v>43160</v>
      </c>
      <c r="P34" s="133">
        <v>43191</v>
      </c>
      <c r="Q34" s="133">
        <v>43221</v>
      </c>
      <c r="R34" s="133">
        <v>43252</v>
      </c>
      <c r="S34" s="133">
        <v>43282</v>
      </c>
      <c r="T34" s="133">
        <v>43313</v>
      </c>
      <c r="U34" s="133">
        <v>43344</v>
      </c>
      <c r="V34" s="133">
        <v>43374</v>
      </c>
      <c r="W34" s="133">
        <v>43405</v>
      </c>
      <c r="X34" s="133">
        <v>43435</v>
      </c>
      <c r="Y34" s="133">
        <v>43466</v>
      </c>
      <c r="Z34" s="133">
        <v>43497</v>
      </c>
      <c r="AA34" s="133">
        <v>43525</v>
      </c>
      <c r="AB34" s="133">
        <v>43556</v>
      </c>
      <c r="AC34" s="133">
        <v>43586</v>
      </c>
      <c r="AD34" s="133">
        <v>43617</v>
      </c>
      <c r="AE34" s="133">
        <v>43647</v>
      </c>
      <c r="AF34" s="133">
        <v>43678</v>
      </c>
      <c r="AG34" s="133">
        <v>43709</v>
      </c>
      <c r="AH34" s="133">
        <v>43739</v>
      </c>
      <c r="AI34" s="133">
        <v>43770</v>
      </c>
    </row>
    <row r="35" spans="1:35" s="132" customFormat="1">
      <c r="A35" s="132" t="s">
        <v>3</v>
      </c>
      <c r="F35" s="132">
        <v>258937</v>
      </c>
      <c r="G35" s="132">
        <v>589070</v>
      </c>
      <c r="H35" s="132">
        <v>588993</v>
      </c>
      <c r="I35" s="132">
        <v>455626</v>
      </c>
      <c r="J35" s="132">
        <v>418993</v>
      </c>
      <c r="K35" s="132">
        <v>432960</v>
      </c>
      <c r="L35" s="132">
        <v>432960</v>
      </c>
      <c r="M35" s="132">
        <v>418993</v>
      </c>
      <c r="N35" s="132">
        <v>393879</v>
      </c>
      <c r="O35" s="132">
        <v>321292</v>
      </c>
      <c r="P35" s="132">
        <v>332002</v>
      </c>
      <c r="Q35" s="132">
        <v>332002</v>
      </c>
      <c r="R35" s="132">
        <v>273790</v>
      </c>
      <c r="S35" s="132">
        <v>303125</v>
      </c>
      <c r="T35" s="132">
        <v>293347</v>
      </c>
      <c r="U35" s="132">
        <v>303125</v>
      </c>
      <c r="V35" s="132">
        <v>293347</v>
      </c>
      <c r="W35" s="132">
        <v>1163784</v>
      </c>
      <c r="X35" s="132">
        <v>1719459</v>
      </c>
      <c r="Y35" s="132">
        <v>1696799</v>
      </c>
      <c r="Z35" s="132">
        <v>1753359</v>
      </c>
      <c r="AA35" s="132">
        <v>1696799</v>
      </c>
      <c r="AB35" s="132">
        <v>1753359</v>
      </c>
      <c r="AC35" s="132">
        <v>1753359</v>
      </c>
      <c r="AD35" s="132">
        <v>2181801</v>
      </c>
      <c r="AE35" s="132">
        <v>2361917</v>
      </c>
      <c r="AF35" s="132">
        <v>2285726</v>
      </c>
      <c r="AG35" s="132">
        <v>2250353</v>
      </c>
      <c r="AH35" s="132">
        <v>1679055</v>
      </c>
      <c r="AI35" s="132">
        <v>2391794</v>
      </c>
    </row>
    <row r="36" spans="1:35">
      <c r="A36" s="46" t="s">
        <v>200</v>
      </c>
      <c r="F36" s="46">
        <v>91188</v>
      </c>
      <c r="G36" s="46">
        <v>100958</v>
      </c>
      <c r="H36" s="46">
        <v>97701</v>
      </c>
      <c r="I36" s="46">
        <v>100958</v>
      </c>
      <c r="J36" s="46">
        <v>97701</v>
      </c>
      <c r="K36" s="46">
        <v>100958</v>
      </c>
      <c r="L36" s="46">
        <v>100958</v>
      </c>
      <c r="M36" s="46">
        <v>97701</v>
      </c>
      <c r="N36" s="46">
        <v>61877</v>
      </c>
    </row>
    <row r="37" spans="1:35">
      <c r="A37" s="46" t="s">
        <v>201</v>
      </c>
      <c r="F37" s="46">
        <v>141667</v>
      </c>
      <c r="G37" s="46">
        <v>175667</v>
      </c>
      <c r="H37" s="46">
        <v>170000</v>
      </c>
      <c r="I37" s="46">
        <v>22667</v>
      </c>
    </row>
    <row r="38" spans="1:35">
      <c r="A38" s="46" t="s">
        <v>202</v>
      </c>
      <c r="G38" s="46">
        <v>283568</v>
      </c>
      <c r="H38" s="46">
        <v>293347</v>
      </c>
      <c r="I38" s="46">
        <v>303125</v>
      </c>
      <c r="J38" s="46">
        <v>293347</v>
      </c>
      <c r="K38" s="46">
        <v>303125</v>
      </c>
      <c r="L38" s="46">
        <v>303125</v>
      </c>
      <c r="M38" s="46">
        <v>293347</v>
      </c>
      <c r="N38" s="46">
        <v>303125</v>
      </c>
      <c r="O38" s="46">
        <v>293347</v>
      </c>
      <c r="P38" s="46">
        <v>303125</v>
      </c>
      <c r="Q38" s="46">
        <v>303125</v>
      </c>
      <c r="R38" s="46">
        <v>273790</v>
      </c>
      <c r="S38" s="46">
        <v>303125</v>
      </c>
      <c r="T38" s="46">
        <v>293347</v>
      </c>
      <c r="U38" s="46">
        <v>303125</v>
      </c>
      <c r="V38" s="46">
        <v>293347</v>
      </c>
      <c r="W38" s="46">
        <v>257561</v>
      </c>
    </row>
    <row r="39" spans="1:35">
      <c r="A39" s="46" t="s">
        <v>203</v>
      </c>
      <c r="F39" s="46">
        <v>26082</v>
      </c>
      <c r="G39" s="46">
        <v>28877</v>
      </c>
      <c r="H39" s="46">
        <v>27945</v>
      </c>
      <c r="I39" s="46">
        <v>28877</v>
      </c>
      <c r="J39" s="46">
        <v>27945</v>
      </c>
      <c r="K39" s="46">
        <v>28877</v>
      </c>
      <c r="L39" s="46">
        <v>28877</v>
      </c>
      <c r="M39" s="46">
        <v>27945</v>
      </c>
      <c r="N39" s="46">
        <v>28877</v>
      </c>
      <c r="O39" s="46">
        <v>27945</v>
      </c>
      <c r="P39" s="46">
        <v>28877</v>
      </c>
      <c r="Q39" s="46">
        <v>28877</v>
      </c>
    </row>
    <row r="40" spans="1:35">
      <c r="A40" s="46" t="s">
        <v>204</v>
      </c>
      <c r="W40" s="46">
        <v>459019</v>
      </c>
      <c r="X40" s="46">
        <v>576411</v>
      </c>
      <c r="Y40" s="46">
        <v>557817</v>
      </c>
      <c r="Z40" s="46">
        <v>576411</v>
      </c>
      <c r="AA40" s="46">
        <v>557817</v>
      </c>
      <c r="AB40" s="46">
        <v>576411</v>
      </c>
      <c r="AC40" s="46">
        <v>576411</v>
      </c>
      <c r="AD40" s="46">
        <v>520629</v>
      </c>
      <c r="AE40" s="46">
        <v>576411</v>
      </c>
      <c r="AF40" s="46">
        <v>557817</v>
      </c>
      <c r="AG40" s="46">
        <v>464847</v>
      </c>
    </row>
    <row r="41" spans="1:35">
      <c r="A41" s="46" t="s">
        <v>205</v>
      </c>
      <c r="W41" s="46">
        <v>60345</v>
      </c>
      <c r="X41" s="46">
        <v>89080</v>
      </c>
      <c r="Y41" s="46">
        <v>86207</v>
      </c>
      <c r="Z41" s="46">
        <v>89080</v>
      </c>
      <c r="AA41" s="46">
        <v>86207</v>
      </c>
      <c r="AB41" s="46">
        <v>89080</v>
      </c>
      <c r="AC41" s="46">
        <v>89080</v>
      </c>
      <c r="AD41" s="46">
        <v>80460</v>
      </c>
      <c r="AE41" s="46">
        <v>89080</v>
      </c>
      <c r="AF41" s="46">
        <v>86207</v>
      </c>
      <c r="AG41" s="46">
        <v>89080</v>
      </c>
      <c r="AH41" s="46">
        <v>66092</v>
      </c>
    </row>
    <row r="42" spans="1:35">
      <c r="A42" s="46" t="s">
        <v>206</v>
      </c>
      <c r="W42" s="46">
        <v>57478</v>
      </c>
      <c r="X42" s="46">
        <v>127273</v>
      </c>
      <c r="Y42" s="46">
        <v>123167</v>
      </c>
      <c r="Z42" s="46">
        <v>127273</v>
      </c>
      <c r="AA42" s="46">
        <v>123167</v>
      </c>
      <c r="AB42" s="46">
        <v>127273</v>
      </c>
      <c r="AC42" s="46">
        <v>127273</v>
      </c>
      <c r="AD42" s="46">
        <v>114956</v>
      </c>
      <c r="AE42" s="46">
        <v>127273</v>
      </c>
      <c r="AF42" s="46">
        <v>123167</v>
      </c>
      <c r="AG42" s="46">
        <v>127273</v>
      </c>
      <c r="AH42" s="46">
        <v>94428</v>
      </c>
    </row>
    <row r="43" spans="1:35">
      <c r="A43" s="46" t="s">
        <v>207</v>
      </c>
      <c r="W43" s="46">
        <v>329380</v>
      </c>
      <c r="X43" s="46">
        <v>785445</v>
      </c>
      <c r="Y43" s="46">
        <v>760108</v>
      </c>
      <c r="Z43" s="46">
        <v>785445</v>
      </c>
      <c r="AA43" s="46">
        <v>760108</v>
      </c>
      <c r="AB43" s="46">
        <v>785445</v>
      </c>
      <c r="AC43" s="46">
        <v>785445</v>
      </c>
      <c r="AD43" s="46">
        <v>709434</v>
      </c>
      <c r="AE43" s="46">
        <v>785445</v>
      </c>
      <c r="AF43" s="46">
        <v>760108</v>
      </c>
      <c r="AG43" s="46">
        <v>785445</v>
      </c>
      <c r="AH43" s="46">
        <v>760108</v>
      </c>
      <c r="AI43" s="46">
        <v>608086</v>
      </c>
    </row>
    <row r="44" spans="1:35">
      <c r="A44" s="46" t="s">
        <v>208</v>
      </c>
      <c r="X44" s="46">
        <v>141250</v>
      </c>
      <c r="Y44" s="46">
        <v>169500</v>
      </c>
      <c r="Z44" s="46">
        <v>175150</v>
      </c>
      <c r="AA44" s="46">
        <v>169500</v>
      </c>
      <c r="AB44" s="46">
        <v>175150</v>
      </c>
      <c r="AC44" s="46">
        <v>175150</v>
      </c>
      <c r="AD44" s="46">
        <v>124300</v>
      </c>
    </row>
    <row r="45" spans="1:35">
      <c r="A45" s="46" t="s">
        <v>209</v>
      </c>
      <c r="AD45" s="46">
        <v>632022</v>
      </c>
      <c r="AE45" s="46">
        <v>783708</v>
      </c>
      <c r="AF45" s="46">
        <v>758427</v>
      </c>
      <c r="AG45" s="46">
        <v>783708</v>
      </c>
      <c r="AH45" s="46">
        <v>758427</v>
      </c>
      <c r="AI45" s="46">
        <v>783708</v>
      </c>
    </row>
    <row r="46" spans="1:35">
      <c r="A46" s="46" t="s">
        <v>210</v>
      </c>
      <c r="AI46" s="46">
        <v>1000000</v>
      </c>
    </row>
    <row r="48" spans="1:35">
      <c r="A48" s="129" t="s">
        <v>237</v>
      </c>
    </row>
    <row r="49" spans="1:35" s="132" customFormat="1">
      <c r="A49" s="132" t="s">
        <v>7</v>
      </c>
      <c r="B49" s="133">
        <v>42767</v>
      </c>
      <c r="C49" s="133">
        <v>42795</v>
      </c>
      <c r="D49" s="133">
        <v>42826</v>
      </c>
      <c r="E49" s="133">
        <v>42856</v>
      </c>
      <c r="F49" s="133">
        <v>42887</v>
      </c>
      <c r="G49" s="133">
        <v>42917</v>
      </c>
      <c r="H49" s="133">
        <v>42948</v>
      </c>
      <c r="I49" s="133">
        <v>42979</v>
      </c>
      <c r="J49" s="133">
        <v>43009</v>
      </c>
      <c r="K49" s="133">
        <v>43040</v>
      </c>
      <c r="L49" s="133">
        <v>43070</v>
      </c>
      <c r="M49" s="133">
        <v>43101</v>
      </c>
      <c r="N49" s="133">
        <v>43132</v>
      </c>
      <c r="O49" s="133">
        <v>43160</v>
      </c>
      <c r="P49" s="133">
        <v>43191</v>
      </c>
      <c r="Q49" s="133">
        <v>43221</v>
      </c>
      <c r="R49" s="133">
        <v>43252</v>
      </c>
      <c r="S49" s="133">
        <v>43282</v>
      </c>
      <c r="T49" s="133">
        <v>43313</v>
      </c>
      <c r="U49" s="133">
        <v>43344</v>
      </c>
      <c r="V49" s="133">
        <v>43374</v>
      </c>
      <c r="W49" s="133">
        <v>43405</v>
      </c>
      <c r="X49" s="133">
        <v>43435</v>
      </c>
      <c r="Y49" s="133">
        <v>43466</v>
      </c>
      <c r="Z49" s="133">
        <v>43497</v>
      </c>
      <c r="AA49" s="133">
        <v>43525</v>
      </c>
      <c r="AB49" s="133">
        <v>43556</v>
      </c>
      <c r="AC49" s="133">
        <v>43586</v>
      </c>
      <c r="AD49" s="133">
        <v>43617</v>
      </c>
      <c r="AE49" s="133">
        <v>43647</v>
      </c>
      <c r="AF49" s="133">
        <v>43678</v>
      </c>
      <c r="AG49" s="133">
        <v>43709</v>
      </c>
      <c r="AH49" s="133">
        <v>43739</v>
      </c>
      <c r="AI49" s="133">
        <v>43770</v>
      </c>
    </row>
    <row r="50" spans="1:35" s="132" customFormat="1">
      <c r="A50" s="132" t="s">
        <v>3</v>
      </c>
      <c r="F50" s="132">
        <f>SUM($F35:F35)</f>
        <v>258937</v>
      </c>
      <c r="G50" s="132">
        <f>SUM($F35:G35)</f>
        <v>848007</v>
      </c>
      <c r="H50" s="132">
        <f>SUM($F35:H35)</f>
        <v>1437000</v>
      </c>
      <c r="I50" s="132">
        <f>SUM($F35:I35)</f>
        <v>1892626</v>
      </c>
      <c r="J50" s="132">
        <f>SUM($F35:J35)</f>
        <v>2311619</v>
      </c>
      <c r="K50" s="132">
        <f>SUM($F35:K35)</f>
        <v>2744579</v>
      </c>
      <c r="L50" s="132">
        <f>SUM($F35:L35)</f>
        <v>3177539</v>
      </c>
      <c r="M50" s="132">
        <f>SUM($F35:M35)</f>
        <v>3596532</v>
      </c>
      <c r="N50" s="132">
        <f>SUM($F35:N35)</f>
        <v>3990411</v>
      </c>
      <c r="O50" s="132">
        <f>SUM($F35:O35)</f>
        <v>4311703</v>
      </c>
      <c r="P50" s="132">
        <f>SUM($F35:P35)</f>
        <v>4643705</v>
      </c>
      <c r="Q50" s="132">
        <f>SUM($F35:Q35)</f>
        <v>4975707</v>
      </c>
      <c r="R50" s="132">
        <f>SUM($F35:R35)</f>
        <v>5249497</v>
      </c>
      <c r="S50" s="132">
        <f>SUM($F35:S35)</f>
        <v>5552622</v>
      </c>
      <c r="T50" s="132">
        <f>SUM($F35:T35)</f>
        <v>5845969</v>
      </c>
      <c r="U50" s="132">
        <f>SUM($F35:U35)</f>
        <v>6149094</v>
      </c>
      <c r="V50" s="132">
        <f>SUM($F35:V35)</f>
        <v>6442441</v>
      </c>
      <c r="W50" s="132">
        <f>SUM($F35:W35)</f>
        <v>7606225</v>
      </c>
      <c r="X50" s="132">
        <f>SUM($F35:X35)</f>
        <v>9325684</v>
      </c>
      <c r="Y50" s="132">
        <f>SUM($F35:Y35)</f>
        <v>11022483</v>
      </c>
      <c r="Z50" s="132">
        <f>SUM($F35:Z35)</f>
        <v>12775842</v>
      </c>
      <c r="AA50" s="132">
        <f>SUM($F35:AA35)</f>
        <v>14472641</v>
      </c>
      <c r="AB50" s="132">
        <f>SUM($F35:AB35)</f>
        <v>16226000</v>
      </c>
      <c r="AC50" s="132">
        <f>SUM($F35:AC35)</f>
        <v>17979359</v>
      </c>
      <c r="AD50" s="132">
        <f>SUM($F35:AD35)</f>
        <v>20161160</v>
      </c>
      <c r="AE50" s="132">
        <f>SUM($F35:AE35)</f>
        <v>22523077</v>
      </c>
      <c r="AF50" s="132">
        <f>SUM($F35:AF35)</f>
        <v>24808803</v>
      </c>
      <c r="AG50" s="132">
        <f>SUM($F35:AG35)</f>
        <v>27059156</v>
      </c>
      <c r="AH50" s="132">
        <f>SUM($F35:AH35)</f>
        <v>28738211</v>
      </c>
      <c r="AI50" s="132">
        <f>SUM($F35:AI35)</f>
        <v>31130005</v>
      </c>
    </row>
    <row r="51" spans="1:35">
      <c r="A51" s="46" t="s">
        <v>200</v>
      </c>
      <c r="F51" s="46">
        <f>SUM($F36:F36)</f>
        <v>91188</v>
      </c>
      <c r="G51" s="46">
        <f>SUM($F36:G36)</f>
        <v>192146</v>
      </c>
      <c r="H51" s="46">
        <f>SUM($F36:H36)</f>
        <v>289847</v>
      </c>
      <c r="I51" s="46">
        <f>SUM($F36:I36)</f>
        <v>390805</v>
      </c>
      <c r="J51" s="46">
        <f>SUM($F36:J36)</f>
        <v>488506</v>
      </c>
      <c r="K51" s="46">
        <f>SUM($F36:K36)</f>
        <v>589464</v>
      </c>
      <c r="L51" s="46">
        <f>SUM($F36:L36)</f>
        <v>690422</v>
      </c>
      <c r="M51" s="46">
        <f>SUM($F36:M36)</f>
        <v>788123</v>
      </c>
      <c r="N51" s="46">
        <f>SUM($F36:N36)</f>
        <v>850000</v>
      </c>
      <c r="O51" s="46">
        <f>SUM($F36:O36)</f>
        <v>850000</v>
      </c>
      <c r="P51" s="46">
        <f>SUM($F36:P36)</f>
        <v>850000</v>
      </c>
      <c r="Q51" s="46">
        <f>SUM($F36:Q36)</f>
        <v>850000</v>
      </c>
      <c r="R51" s="46">
        <f>SUM($F36:R36)</f>
        <v>850000</v>
      </c>
      <c r="S51" s="46">
        <f>SUM($F36:S36)</f>
        <v>850000</v>
      </c>
      <c r="T51" s="46">
        <f>SUM($F36:T36)</f>
        <v>850000</v>
      </c>
      <c r="U51" s="46">
        <f>SUM($F36:U36)</f>
        <v>850000</v>
      </c>
      <c r="V51" s="46">
        <f>SUM($F36:V36)</f>
        <v>850000</v>
      </c>
      <c r="W51" s="46">
        <f>SUM($F36:W36)</f>
        <v>850000</v>
      </c>
      <c r="X51" s="46">
        <f>SUM($F36:X36)</f>
        <v>850000</v>
      </c>
      <c r="Y51" s="46">
        <f>SUM($F36:Y36)</f>
        <v>850000</v>
      </c>
      <c r="Z51" s="46">
        <f>SUM($F36:Z36)</f>
        <v>850000</v>
      </c>
      <c r="AA51" s="46">
        <f>SUM($F36:AA36)</f>
        <v>850000</v>
      </c>
      <c r="AB51" s="46">
        <f>SUM($F36:AB36)</f>
        <v>850000</v>
      </c>
      <c r="AC51" s="46">
        <f>SUM($F36:AC36)</f>
        <v>850000</v>
      </c>
      <c r="AD51" s="46">
        <f>SUM($F36:AD36)</f>
        <v>850000</v>
      </c>
      <c r="AE51" s="46">
        <f>SUM($F36:AE36)</f>
        <v>850000</v>
      </c>
      <c r="AF51" s="46">
        <f>SUM($F36:AF36)</f>
        <v>850000</v>
      </c>
      <c r="AG51" s="46">
        <f>SUM($F36:AG36)</f>
        <v>850000</v>
      </c>
      <c r="AH51" s="46">
        <f>SUM($F36:AH36)</f>
        <v>850000</v>
      </c>
      <c r="AI51" s="46">
        <f>SUM($F36:AI36)</f>
        <v>850000</v>
      </c>
    </row>
    <row r="52" spans="1:35">
      <c r="A52" s="46" t="s">
        <v>201</v>
      </c>
      <c r="F52" s="46">
        <f>SUM($F37:F37)</f>
        <v>141667</v>
      </c>
      <c r="G52" s="46">
        <f>SUM($F37:G37)</f>
        <v>317334</v>
      </c>
      <c r="H52" s="46">
        <f>SUM($F37:H37)</f>
        <v>487334</v>
      </c>
      <c r="I52" s="46">
        <f>SUM($F37:I37)</f>
        <v>510001</v>
      </c>
      <c r="J52" s="46">
        <f>SUM($F37:J37)</f>
        <v>510001</v>
      </c>
      <c r="K52" s="46">
        <f>SUM($F37:K37)</f>
        <v>510001</v>
      </c>
      <c r="L52" s="46">
        <f>SUM($F37:L37)</f>
        <v>510001</v>
      </c>
      <c r="M52" s="46">
        <f>SUM($F37:M37)</f>
        <v>510001</v>
      </c>
      <c r="N52" s="46">
        <f>SUM($F37:N37)</f>
        <v>510001</v>
      </c>
      <c r="O52" s="46">
        <f>SUM($F37:O37)</f>
        <v>510001</v>
      </c>
      <c r="P52" s="46">
        <f>SUM($F37:P37)</f>
        <v>510001</v>
      </c>
      <c r="Q52" s="46">
        <f>SUM($F37:Q37)</f>
        <v>510001</v>
      </c>
      <c r="R52" s="46">
        <f>SUM($F37:R37)</f>
        <v>510001</v>
      </c>
      <c r="S52" s="46">
        <f>SUM($F37:S37)</f>
        <v>510001</v>
      </c>
      <c r="T52" s="46">
        <f>SUM($F37:T37)</f>
        <v>510001</v>
      </c>
      <c r="U52" s="46">
        <f>SUM($F37:U37)</f>
        <v>510001</v>
      </c>
      <c r="V52" s="46">
        <f>SUM($F37:V37)</f>
        <v>510001</v>
      </c>
      <c r="W52" s="46">
        <f>SUM($F37:W37)</f>
        <v>510001</v>
      </c>
      <c r="X52" s="46">
        <f>SUM($F37:X37)</f>
        <v>510001</v>
      </c>
      <c r="Y52" s="46">
        <f>SUM($F37:Y37)</f>
        <v>510001</v>
      </c>
      <c r="Z52" s="46">
        <f>SUM($F37:Z37)</f>
        <v>510001</v>
      </c>
      <c r="AA52" s="46">
        <f>SUM($F37:AA37)</f>
        <v>510001</v>
      </c>
      <c r="AB52" s="46">
        <f>SUM($F37:AB37)</f>
        <v>510001</v>
      </c>
      <c r="AC52" s="46">
        <f>SUM($F37:AC37)</f>
        <v>510001</v>
      </c>
      <c r="AD52" s="46">
        <f>SUM($F37:AD37)</f>
        <v>510001</v>
      </c>
      <c r="AE52" s="46">
        <f>SUM($F37:AE37)</f>
        <v>510001</v>
      </c>
      <c r="AF52" s="46">
        <f>SUM($F37:AF37)</f>
        <v>510001</v>
      </c>
      <c r="AG52" s="46">
        <f>SUM($F37:AG37)</f>
        <v>510001</v>
      </c>
      <c r="AH52" s="46">
        <f>SUM($F37:AH37)</f>
        <v>510001</v>
      </c>
      <c r="AI52" s="46">
        <f>SUM($F37:AI37)</f>
        <v>510001</v>
      </c>
    </row>
    <row r="53" spans="1:35">
      <c r="A53" s="46" t="s">
        <v>202</v>
      </c>
      <c r="F53" s="46">
        <f>SUM($F38:F38)</f>
        <v>0</v>
      </c>
      <c r="G53" s="46">
        <f>SUM($F38:G38)</f>
        <v>283568</v>
      </c>
      <c r="H53" s="46">
        <f>SUM($F38:H38)</f>
        <v>576915</v>
      </c>
      <c r="I53" s="46">
        <f>SUM($F38:I38)</f>
        <v>880040</v>
      </c>
      <c r="J53" s="46">
        <f>SUM($F38:J38)</f>
        <v>1173387</v>
      </c>
      <c r="K53" s="46">
        <f>SUM($F38:K38)</f>
        <v>1476512</v>
      </c>
      <c r="L53" s="46">
        <f>SUM($F38:L38)</f>
        <v>1779637</v>
      </c>
      <c r="M53" s="46">
        <f>SUM($F38:M38)</f>
        <v>2072984</v>
      </c>
      <c r="N53" s="46">
        <f>SUM($F38:N38)</f>
        <v>2376109</v>
      </c>
      <c r="O53" s="46">
        <f>SUM($F38:O38)</f>
        <v>2669456</v>
      </c>
      <c r="P53" s="46">
        <f>SUM($F38:P38)</f>
        <v>2972581</v>
      </c>
      <c r="Q53" s="46">
        <f>SUM($F38:Q38)</f>
        <v>3275706</v>
      </c>
      <c r="R53" s="46">
        <f>SUM($F38:R38)</f>
        <v>3549496</v>
      </c>
      <c r="S53" s="46">
        <f>SUM($F38:S38)</f>
        <v>3852621</v>
      </c>
      <c r="T53" s="46">
        <f>SUM($F38:T38)</f>
        <v>4145968</v>
      </c>
      <c r="U53" s="46">
        <f>SUM($F38:U38)</f>
        <v>4449093</v>
      </c>
      <c r="V53" s="46">
        <f>SUM($F38:V38)</f>
        <v>4742440</v>
      </c>
      <c r="W53" s="46">
        <f>SUM($F38:W38)</f>
        <v>5000001</v>
      </c>
      <c r="X53" s="46">
        <f>SUM($F38:X38)</f>
        <v>5000001</v>
      </c>
      <c r="Y53" s="46">
        <f>SUM($F38:Y38)</f>
        <v>5000001</v>
      </c>
      <c r="Z53" s="46">
        <f>SUM($F38:Z38)</f>
        <v>5000001</v>
      </c>
      <c r="AA53" s="46">
        <f>SUM($F38:AA38)</f>
        <v>5000001</v>
      </c>
      <c r="AB53" s="46">
        <f>SUM($F38:AB38)</f>
        <v>5000001</v>
      </c>
      <c r="AC53" s="46">
        <f>SUM($F38:AC38)</f>
        <v>5000001</v>
      </c>
      <c r="AD53" s="46">
        <f>SUM($F38:AD38)</f>
        <v>5000001</v>
      </c>
      <c r="AE53" s="46">
        <f>SUM($F38:AE38)</f>
        <v>5000001</v>
      </c>
      <c r="AF53" s="46">
        <f>SUM($F38:AF38)</f>
        <v>5000001</v>
      </c>
      <c r="AG53" s="46">
        <f>SUM($F38:AG38)</f>
        <v>5000001</v>
      </c>
      <c r="AH53" s="46">
        <f>SUM($F38:AH38)</f>
        <v>5000001</v>
      </c>
      <c r="AI53" s="46">
        <f>SUM($F38:AI38)</f>
        <v>5000001</v>
      </c>
    </row>
    <row r="54" spans="1:35">
      <c r="A54" s="46" t="s">
        <v>203</v>
      </c>
      <c r="F54" s="46">
        <f>SUM($F39:F39)</f>
        <v>26082</v>
      </c>
      <c r="G54" s="46">
        <f>SUM($F39:G39)</f>
        <v>54959</v>
      </c>
      <c r="H54" s="46">
        <f>SUM($F39:H39)</f>
        <v>82904</v>
      </c>
      <c r="I54" s="46">
        <f>SUM($F39:I39)</f>
        <v>111781</v>
      </c>
      <c r="J54" s="46">
        <f>SUM($F39:J39)</f>
        <v>139726</v>
      </c>
      <c r="K54" s="46">
        <f>SUM($F39:K39)</f>
        <v>168603</v>
      </c>
      <c r="L54" s="46">
        <f>SUM($F39:L39)</f>
        <v>197480</v>
      </c>
      <c r="M54" s="46">
        <f>SUM($F39:M39)</f>
        <v>225425</v>
      </c>
      <c r="N54" s="46">
        <f>SUM($F39:N39)</f>
        <v>254302</v>
      </c>
      <c r="O54" s="46">
        <f>SUM($F39:O39)</f>
        <v>282247</v>
      </c>
      <c r="P54" s="46">
        <f>SUM($F39:P39)</f>
        <v>311124</v>
      </c>
      <c r="Q54" s="46">
        <f>SUM($F39:Q39)</f>
        <v>340001</v>
      </c>
      <c r="R54" s="46">
        <f>SUM($F39:R39)</f>
        <v>340001</v>
      </c>
      <c r="S54" s="46">
        <f>SUM($F39:S39)</f>
        <v>340001</v>
      </c>
      <c r="T54" s="46">
        <f>SUM($F39:T39)</f>
        <v>340001</v>
      </c>
      <c r="U54" s="46">
        <f>SUM($F39:U39)</f>
        <v>340001</v>
      </c>
      <c r="V54" s="46">
        <f>SUM($F39:V39)</f>
        <v>340001</v>
      </c>
      <c r="W54" s="46">
        <f>SUM($F39:W39)</f>
        <v>340001</v>
      </c>
      <c r="X54" s="46">
        <f>SUM($F39:X39)</f>
        <v>340001</v>
      </c>
      <c r="Y54" s="46">
        <f>SUM($F39:Y39)</f>
        <v>340001</v>
      </c>
      <c r="Z54" s="46">
        <f>SUM($F39:Z39)</f>
        <v>340001</v>
      </c>
      <c r="AA54" s="46">
        <f>SUM($F39:AA39)</f>
        <v>340001</v>
      </c>
      <c r="AB54" s="46">
        <f>SUM($F39:AB39)</f>
        <v>340001</v>
      </c>
      <c r="AC54" s="46">
        <f>SUM($F39:AC39)</f>
        <v>340001</v>
      </c>
      <c r="AD54" s="46">
        <f>SUM($F39:AD39)</f>
        <v>340001</v>
      </c>
      <c r="AE54" s="46">
        <f>SUM($F39:AE39)</f>
        <v>340001</v>
      </c>
      <c r="AF54" s="46">
        <f>SUM($F39:AF39)</f>
        <v>340001</v>
      </c>
      <c r="AG54" s="46">
        <f>SUM($F39:AG39)</f>
        <v>340001</v>
      </c>
      <c r="AH54" s="46">
        <f>SUM($F39:AH39)</f>
        <v>340001</v>
      </c>
      <c r="AI54" s="46">
        <f>SUM($F39:AI39)</f>
        <v>340001</v>
      </c>
    </row>
    <row r="55" spans="1:35">
      <c r="A55" s="46" t="s">
        <v>204</v>
      </c>
      <c r="F55" s="46">
        <f>SUM($F40:F40)</f>
        <v>0</v>
      </c>
      <c r="G55" s="46">
        <f>SUM($F40:G40)</f>
        <v>0</v>
      </c>
      <c r="H55" s="46">
        <f>SUM($F40:H40)</f>
        <v>0</v>
      </c>
      <c r="I55" s="46">
        <f>SUM($F40:I40)</f>
        <v>0</v>
      </c>
      <c r="J55" s="46">
        <f>SUM($F40:J40)</f>
        <v>0</v>
      </c>
      <c r="K55" s="46">
        <f>SUM($F40:K40)</f>
        <v>0</v>
      </c>
      <c r="L55" s="46">
        <f>SUM($F40:L40)</f>
        <v>0</v>
      </c>
      <c r="M55" s="46">
        <f>SUM($F40:M40)</f>
        <v>0</v>
      </c>
      <c r="N55" s="46">
        <f>SUM($F40:N40)</f>
        <v>0</v>
      </c>
      <c r="O55" s="46">
        <f>SUM($F40:O40)</f>
        <v>0</v>
      </c>
      <c r="P55" s="46">
        <f>SUM($F40:P40)</f>
        <v>0</v>
      </c>
      <c r="Q55" s="46">
        <f>SUM($F40:Q40)</f>
        <v>0</v>
      </c>
      <c r="R55" s="46">
        <f>SUM($F40:R40)</f>
        <v>0</v>
      </c>
      <c r="S55" s="46">
        <f>SUM($F40:S40)</f>
        <v>0</v>
      </c>
      <c r="T55" s="46">
        <f>SUM($F40:T40)</f>
        <v>0</v>
      </c>
      <c r="U55" s="46">
        <f>SUM($F40:U40)</f>
        <v>0</v>
      </c>
      <c r="V55" s="46">
        <f>SUM($F40:V40)</f>
        <v>0</v>
      </c>
      <c r="W55" s="46">
        <f>SUM($F40:W40)</f>
        <v>459019</v>
      </c>
      <c r="X55" s="46">
        <f>SUM($F40:X40)</f>
        <v>1035430</v>
      </c>
      <c r="Y55" s="46">
        <f>SUM($F40:Y40)</f>
        <v>1593247</v>
      </c>
      <c r="Z55" s="46">
        <f>SUM($F40:Z40)</f>
        <v>2169658</v>
      </c>
      <c r="AA55" s="46">
        <f>SUM($F40:AA40)</f>
        <v>2727475</v>
      </c>
      <c r="AB55" s="46">
        <f>SUM($F40:AB40)</f>
        <v>3303886</v>
      </c>
      <c r="AC55" s="46">
        <f>SUM($F40:AC40)</f>
        <v>3880297</v>
      </c>
      <c r="AD55" s="46">
        <f>SUM($F40:AD40)</f>
        <v>4400926</v>
      </c>
      <c r="AE55" s="46">
        <f>SUM($F40:AE40)</f>
        <v>4977337</v>
      </c>
      <c r="AF55" s="46">
        <f>SUM($F40:AF40)</f>
        <v>5535154</v>
      </c>
      <c r="AG55" s="46">
        <f>SUM($F40:AG40)</f>
        <v>6000001</v>
      </c>
      <c r="AH55" s="46">
        <f>SUM($F40:AH40)</f>
        <v>6000001</v>
      </c>
      <c r="AI55" s="46">
        <f>SUM($F40:AI40)</f>
        <v>6000001</v>
      </c>
    </row>
    <row r="56" spans="1:35">
      <c r="A56" s="46" t="s">
        <v>205</v>
      </c>
      <c r="F56" s="46">
        <f>SUM($F41:F41)</f>
        <v>0</v>
      </c>
      <c r="G56" s="46">
        <f>SUM($F41:G41)</f>
        <v>0</v>
      </c>
      <c r="H56" s="46">
        <f>SUM($F41:H41)</f>
        <v>0</v>
      </c>
      <c r="I56" s="46">
        <f>SUM($F41:I41)</f>
        <v>0</v>
      </c>
      <c r="J56" s="46">
        <f>SUM($F41:J41)</f>
        <v>0</v>
      </c>
      <c r="K56" s="46">
        <f>SUM($F41:K41)</f>
        <v>0</v>
      </c>
      <c r="L56" s="46">
        <f>SUM($F41:L41)</f>
        <v>0</v>
      </c>
      <c r="M56" s="46">
        <f>SUM($F41:M41)</f>
        <v>0</v>
      </c>
      <c r="N56" s="46">
        <f>SUM($F41:N41)</f>
        <v>0</v>
      </c>
      <c r="O56" s="46">
        <f>SUM($F41:O41)</f>
        <v>0</v>
      </c>
      <c r="P56" s="46">
        <f>SUM($F41:P41)</f>
        <v>0</v>
      </c>
      <c r="Q56" s="46">
        <f>SUM($F41:Q41)</f>
        <v>0</v>
      </c>
      <c r="R56" s="46">
        <f>SUM($F41:R41)</f>
        <v>0</v>
      </c>
      <c r="S56" s="46">
        <f>SUM($F41:S41)</f>
        <v>0</v>
      </c>
      <c r="T56" s="46">
        <f>SUM($F41:T41)</f>
        <v>0</v>
      </c>
      <c r="U56" s="46">
        <f>SUM($F41:U41)</f>
        <v>0</v>
      </c>
      <c r="V56" s="46">
        <f>SUM($F41:V41)</f>
        <v>0</v>
      </c>
      <c r="W56" s="46">
        <f>SUM($F41:W41)</f>
        <v>60345</v>
      </c>
      <c r="X56" s="46">
        <f>SUM($F41:X41)</f>
        <v>149425</v>
      </c>
      <c r="Y56" s="46">
        <f>SUM($F41:Y41)</f>
        <v>235632</v>
      </c>
      <c r="Z56" s="46">
        <f>SUM($F41:Z41)</f>
        <v>324712</v>
      </c>
      <c r="AA56" s="46">
        <f>SUM($F41:AA41)</f>
        <v>410919</v>
      </c>
      <c r="AB56" s="46">
        <f>SUM($F41:AB41)</f>
        <v>499999</v>
      </c>
      <c r="AC56" s="46">
        <f>SUM($F41:AC41)</f>
        <v>589079</v>
      </c>
      <c r="AD56" s="46">
        <f>SUM($F41:AD41)</f>
        <v>669539</v>
      </c>
      <c r="AE56" s="46">
        <f>SUM($F41:AE41)</f>
        <v>758619</v>
      </c>
      <c r="AF56" s="46">
        <f>SUM($F41:AF41)</f>
        <v>844826</v>
      </c>
      <c r="AG56" s="46">
        <f>SUM($F41:AG41)</f>
        <v>933906</v>
      </c>
      <c r="AH56" s="46">
        <f>SUM($F41:AH41)</f>
        <v>999998</v>
      </c>
      <c r="AI56" s="46">
        <f>SUM($F41:AI41)</f>
        <v>999998</v>
      </c>
    </row>
    <row r="57" spans="1:35">
      <c r="A57" s="46" t="s">
        <v>206</v>
      </c>
      <c r="F57" s="46">
        <f>SUM($F42:F42)</f>
        <v>0</v>
      </c>
      <c r="G57" s="46">
        <f>SUM($F42:G42)</f>
        <v>0</v>
      </c>
      <c r="H57" s="46">
        <f>SUM($F42:H42)</f>
        <v>0</v>
      </c>
      <c r="I57" s="46">
        <f>SUM($F42:I42)</f>
        <v>0</v>
      </c>
      <c r="J57" s="46">
        <f>SUM($F42:J42)</f>
        <v>0</v>
      </c>
      <c r="K57" s="46">
        <f>SUM($F42:K42)</f>
        <v>0</v>
      </c>
      <c r="L57" s="46">
        <f>SUM($F42:L42)</f>
        <v>0</v>
      </c>
      <c r="M57" s="46">
        <f>SUM($F42:M42)</f>
        <v>0</v>
      </c>
      <c r="N57" s="46">
        <f>SUM($F42:N42)</f>
        <v>0</v>
      </c>
      <c r="O57" s="46">
        <f>SUM($F42:O42)</f>
        <v>0</v>
      </c>
      <c r="P57" s="46">
        <f>SUM($F42:P42)</f>
        <v>0</v>
      </c>
      <c r="Q57" s="46">
        <f>SUM($F42:Q42)</f>
        <v>0</v>
      </c>
      <c r="R57" s="46">
        <f>SUM($F42:R42)</f>
        <v>0</v>
      </c>
      <c r="S57" s="46">
        <f>SUM($F42:S42)</f>
        <v>0</v>
      </c>
      <c r="T57" s="46">
        <f>SUM($F42:T42)</f>
        <v>0</v>
      </c>
      <c r="U57" s="46">
        <f>SUM($F42:U42)</f>
        <v>0</v>
      </c>
      <c r="V57" s="46">
        <f>SUM($F42:V42)</f>
        <v>0</v>
      </c>
      <c r="W57" s="46">
        <f>SUM($F42:W42)</f>
        <v>57478</v>
      </c>
      <c r="X57" s="46">
        <f>SUM($F42:X42)</f>
        <v>184751</v>
      </c>
      <c r="Y57" s="46">
        <f>SUM($F42:Y42)</f>
        <v>307918</v>
      </c>
      <c r="Z57" s="46">
        <f>SUM($F42:Z42)</f>
        <v>435191</v>
      </c>
      <c r="AA57" s="46">
        <f>SUM($F42:AA42)</f>
        <v>558358</v>
      </c>
      <c r="AB57" s="46">
        <f>SUM($F42:AB42)</f>
        <v>685631</v>
      </c>
      <c r="AC57" s="46">
        <f>SUM($F42:AC42)</f>
        <v>812904</v>
      </c>
      <c r="AD57" s="46">
        <f>SUM($F42:AD42)</f>
        <v>927860</v>
      </c>
      <c r="AE57" s="46">
        <f>SUM($F42:AE42)</f>
        <v>1055133</v>
      </c>
      <c r="AF57" s="46">
        <f>SUM($F42:AF42)</f>
        <v>1178300</v>
      </c>
      <c r="AG57" s="46">
        <f>SUM($F42:AG42)</f>
        <v>1305573</v>
      </c>
      <c r="AH57" s="46">
        <f>SUM($F42:AH42)</f>
        <v>1400001</v>
      </c>
      <c r="AI57" s="46">
        <f>SUM($F42:AI42)</f>
        <v>1400001</v>
      </c>
    </row>
    <row r="58" spans="1:35">
      <c r="A58" s="46" t="s">
        <v>207</v>
      </c>
      <c r="F58" s="46">
        <f>SUM($F43:F43)</f>
        <v>0</v>
      </c>
      <c r="G58" s="46">
        <f>SUM($F43:G43)</f>
        <v>0</v>
      </c>
      <c r="H58" s="46">
        <f>SUM($F43:H43)</f>
        <v>0</v>
      </c>
      <c r="I58" s="46">
        <f>SUM($F43:I43)</f>
        <v>0</v>
      </c>
      <c r="J58" s="46">
        <f>SUM($F43:J43)</f>
        <v>0</v>
      </c>
      <c r="K58" s="46">
        <f>SUM($F43:K43)</f>
        <v>0</v>
      </c>
      <c r="L58" s="46">
        <f>SUM($F43:L43)</f>
        <v>0</v>
      </c>
      <c r="M58" s="46">
        <f>SUM($F43:M43)</f>
        <v>0</v>
      </c>
      <c r="N58" s="46">
        <f>SUM($F43:N43)</f>
        <v>0</v>
      </c>
      <c r="O58" s="46">
        <f>SUM($F43:O43)</f>
        <v>0</v>
      </c>
      <c r="P58" s="46">
        <f>SUM($F43:P43)</f>
        <v>0</v>
      </c>
      <c r="Q58" s="46">
        <f>SUM($F43:Q43)</f>
        <v>0</v>
      </c>
      <c r="R58" s="46">
        <f>SUM($F43:R43)</f>
        <v>0</v>
      </c>
      <c r="S58" s="46">
        <f>SUM($F43:S43)</f>
        <v>0</v>
      </c>
      <c r="T58" s="46">
        <f>SUM($F43:T43)</f>
        <v>0</v>
      </c>
      <c r="U58" s="46">
        <f>SUM($F43:U43)</f>
        <v>0</v>
      </c>
      <c r="V58" s="46">
        <f>SUM($F43:V43)</f>
        <v>0</v>
      </c>
      <c r="W58" s="46">
        <f>SUM($F43:W43)</f>
        <v>329380</v>
      </c>
      <c r="X58" s="46">
        <f>SUM($F43:X43)</f>
        <v>1114825</v>
      </c>
      <c r="Y58" s="46">
        <f>SUM($F43:Y43)</f>
        <v>1874933</v>
      </c>
      <c r="Z58" s="46">
        <f>SUM($F43:Z43)</f>
        <v>2660378</v>
      </c>
      <c r="AA58" s="46">
        <f>SUM($F43:AA43)</f>
        <v>3420486</v>
      </c>
      <c r="AB58" s="46">
        <f>SUM($F43:AB43)</f>
        <v>4205931</v>
      </c>
      <c r="AC58" s="46">
        <f>SUM($F43:AC43)</f>
        <v>4991376</v>
      </c>
      <c r="AD58" s="46">
        <f>SUM($F43:AD43)</f>
        <v>5700810</v>
      </c>
      <c r="AE58" s="46">
        <f>SUM($F43:AE43)</f>
        <v>6486255</v>
      </c>
      <c r="AF58" s="46">
        <f>SUM($F43:AF43)</f>
        <v>7246363</v>
      </c>
      <c r="AG58" s="46">
        <f>SUM($F43:AG43)</f>
        <v>8031808</v>
      </c>
      <c r="AH58" s="46">
        <f>SUM($F43:AH43)</f>
        <v>8791916</v>
      </c>
      <c r="AI58" s="46">
        <f>SUM($F43:AI43)</f>
        <v>9400002</v>
      </c>
    </row>
    <row r="59" spans="1:35">
      <c r="A59" s="46" t="s">
        <v>208</v>
      </c>
      <c r="F59" s="46">
        <f>SUM($F44:F44)</f>
        <v>0</v>
      </c>
      <c r="G59" s="46">
        <f>SUM($F44:G44)</f>
        <v>0</v>
      </c>
      <c r="H59" s="46">
        <f>SUM($F44:H44)</f>
        <v>0</v>
      </c>
      <c r="I59" s="46">
        <f>SUM($F44:I44)</f>
        <v>0</v>
      </c>
      <c r="J59" s="46">
        <f>SUM($F44:J44)</f>
        <v>0</v>
      </c>
      <c r="K59" s="46">
        <f>SUM($F44:K44)</f>
        <v>0</v>
      </c>
      <c r="L59" s="46">
        <f>SUM($F44:L44)</f>
        <v>0</v>
      </c>
      <c r="M59" s="46">
        <f>SUM($F44:M44)</f>
        <v>0</v>
      </c>
      <c r="N59" s="46">
        <f>SUM($F44:N44)</f>
        <v>0</v>
      </c>
      <c r="O59" s="46">
        <f>SUM($F44:O44)</f>
        <v>0</v>
      </c>
      <c r="P59" s="46">
        <f>SUM($F44:P44)</f>
        <v>0</v>
      </c>
      <c r="Q59" s="46">
        <f>SUM($F44:Q44)</f>
        <v>0</v>
      </c>
      <c r="R59" s="46">
        <f>SUM($F44:R44)</f>
        <v>0</v>
      </c>
      <c r="S59" s="46">
        <f>SUM($F44:S44)</f>
        <v>0</v>
      </c>
      <c r="T59" s="46">
        <f>SUM($F44:T44)</f>
        <v>0</v>
      </c>
      <c r="U59" s="46">
        <f>SUM($F44:U44)</f>
        <v>0</v>
      </c>
      <c r="V59" s="46">
        <f>SUM($F44:V44)</f>
        <v>0</v>
      </c>
      <c r="W59" s="46">
        <f>SUM($F44:W44)</f>
        <v>0</v>
      </c>
      <c r="X59" s="46">
        <f>SUM($F44:X44)</f>
        <v>141250</v>
      </c>
      <c r="Y59" s="46">
        <f>SUM($F44:Y44)</f>
        <v>310750</v>
      </c>
      <c r="Z59" s="46">
        <f>SUM($F44:Z44)</f>
        <v>485900</v>
      </c>
      <c r="AA59" s="46">
        <f>SUM($F44:AA44)</f>
        <v>655400</v>
      </c>
      <c r="AB59" s="46">
        <f>SUM($F44:AB44)</f>
        <v>830550</v>
      </c>
      <c r="AC59" s="46">
        <f>SUM($F44:AC44)</f>
        <v>1005700</v>
      </c>
      <c r="AD59" s="46">
        <f>SUM($F44:AD44)</f>
        <v>1130000</v>
      </c>
      <c r="AE59" s="46">
        <f>SUM($F44:AE44)</f>
        <v>1130000</v>
      </c>
      <c r="AF59" s="46">
        <f>SUM($F44:AF44)</f>
        <v>1130000</v>
      </c>
      <c r="AG59" s="46">
        <f>SUM($F44:AG44)</f>
        <v>1130000</v>
      </c>
      <c r="AH59" s="46">
        <f>SUM($F44:AH44)</f>
        <v>1130000</v>
      </c>
      <c r="AI59" s="46">
        <f>SUM($F44:AI44)</f>
        <v>1130000</v>
      </c>
    </row>
    <row r="60" spans="1:35">
      <c r="A60" s="46" t="s">
        <v>209</v>
      </c>
      <c r="F60" s="46">
        <f>SUM($F45:F45)</f>
        <v>0</v>
      </c>
      <c r="G60" s="46">
        <f>SUM($F45:G45)</f>
        <v>0</v>
      </c>
      <c r="H60" s="46">
        <f>SUM($F45:H45)</f>
        <v>0</v>
      </c>
      <c r="I60" s="46">
        <f>SUM($F45:I45)</f>
        <v>0</v>
      </c>
      <c r="J60" s="46">
        <f>SUM($F45:J45)</f>
        <v>0</v>
      </c>
      <c r="K60" s="46">
        <f>SUM($F45:K45)</f>
        <v>0</v>
      </c>
      <c r="L60" s="46">
        <f>SUM($F45:L45)</f>
        <v>0</v>
      </c>
      <c r="M60" s="46">
        <f>SUM($F45:M45)</f>
        <v>0</v>
      </c>
      <c r="N60" s="46">
        <f>SUM($F45:N45)</f>
        <v>0</v>
      </c>
      <c r="O60" s="46">
        <f>SUM($F45:O45)</f>
        <v>0</v>
      </c>
      <c r="P60" s="46">
        <f>SUM($F45:P45)</f>
        <v>0</v>
      </c>
      <c r="Q60" s="46">
        <f>SUM($F45:Q45)</f>
        <v>0</v>
      </c>
      <c r="R60" s="46">
        <f>SUM($F45:R45)</f>
        <v>0</v>
      </c>
      <c r="S60" s="46">
        <f>SUM($F45:S45)</f>
        <v>0</v>
      </c>
      <c r="T60" s="46">
        <f>SUM($F45:T45)</f>
        <v>0</v>
      </c>
      <c r="U60" s="46">
        <f>SUM($F45:U45)</f>
        <v>0</v>
      </c>
      <c r="V60" s="46">
        <f>SUM($F45:V45)</f>
        <v>0</v>
      </c>
      <c r="W60" s="46">
        <f>SUM($F45:W45)</f>
        <v>0</v>
      </c>
      <c r="X60" s="46">
        <f>SUM($F45:X45)</f>
        <v>0</v>
      </c>
      <c r="Y60" s="46">
        <f>SUM($F45:Y45)</f>
        <v>0</v>
      </c>
      <c r="Z60" s="46">
        <f>SUM($F45:Z45)</f>
        <v>0</v>
      </c>
      <c r="AA60" s="46">
        <f>SUM($F45:AA45)</f>
        <v>0</v>
      </c>
      <c r="AB60" s="46">
        <f>SUM($F45:AB45)</f>
        <v>0</v>
      </c>
      <c r="AC60" s="46">
        <f>SUM($F45:AC45)</f>
        <v>0</v>
      </c>
      <c r="AD60" s="46">
        <f>SUM($F45:AD45)</f>
        <v>632022</v>
      </c>
      <c r="AE60" s="46">
        <f>SUM($F45:AE45)</f>
        <v>1415730</v>
      </c>
      <c r="AF60" s="46">
        <f>SUM($F45:AF45)</f>
        <v>2174157</v>
      </c>
      <c r="AG60" s="46">
        <f>SUM($F45:AG45)</f>
        <v>2957865</v>
      </c>
      <c r="AH60" s="46">
        <f>SUM($F45:AH45)</f>
        <v>3716292</v>
      </c>
      <c r="AI60" s="46">
        <f>SUM($F45:AI45)</f>
        <v>4500000</v>
      </c>
    </row>
    <row r="61" spans="1:35">
      <c r="A61" s="46" t="s">
        <v>210</v>
      </c>
      <c r="F61" s="46">
        <f>SUM($F46:F46)</f>
        <v>0</v>
      </c>
      <c r="G61" s="46">
        <f>SUM($F46:G46)</f>
        <v>0</v>
      </c>
      <c r="H61" s="46">
        <f>SUM($F46:H46)</f>
        <v>0</v>
      </c>
      <c r="I61" s="46">
        <f>SUM($F46:I46)</f>
        <v>0</v>
      </c>
      <c r="J61" s="46">
        <f>SUM($F46:J46)</f>
        <v>0</v>
      </c>
      <c r="K61" s="46">
        <f>SUM($F46:K46)</f>
        <v>0</v>
      </c>
      <c r="L61" s="46">
        <f>SUM($F46:L46)</f>
        <v>0</v>
      </c>
      <c r="M61" s="46">
        <f>SUM($F46:M46)</f>
        <v>0</v>
      </c>
      <c r="N61" s="46">
        <f>SUM($F46:N46)</f>
        <v>0</v>
      </c>
      <c r="O61" s="46">
        <f>SUM($F46:O46)</f>
        <v>0</v>
      </c>
      <c r="P61" s="46">
        <f>SUM($F46:P46)</f>
        <v>0</v>
      </c>
      <c r="Q61" s="46">
        <f>SUM($F46:Q46)</f>
        <v>0</v>
      </c>
      <c r="R61" s="46">
        <f>SUM($F46:R46)</f>
        <v>0</v>
      </c>
      <c r="S61" s="46">
        <f>SUM($F46:S46)</f>
        <v>0</v>
      </c>
      <c r="T61" s="46">
        <f>SUM($F46:T46)</f>
        <v>0</v>
      </c>
      <c r="U61" s="46">
        <f>SUM($F46:U46)</f>
        <v>0</v>
      </c>
      <c r="V61" s="46">
        <f>SUM($F46:V46)</f>
        <v>0</v>
      </c>
      <c r="W61" s="46">
        <f>SUM($F46:W46)</f>
        <v>0</v>
      </c>
      <c r="X61" s="46">
        <f>SUM($F46:X46)</f>
        <v>0</v>
      </c>
      <c r="Y61" s="46">
        <f>SUM($F46:Y46)</f>
        <v>0</v>
      </c>
      <c r="Z61" s="46">
        <f>SUM($F46:Z46)</f>
        <v>0</v>
      </c>
      <c r="AA61" s="46">
        <f>SUM($F46:AA46)</f>
        <v>0</v>
      </c>
      <c r="AB61" s="46">
        <f>SUM($F46:AB46)</f>
        <v>0</v>
      </c>
      <c r="AC61" s="46">
        <f>SUM($F46:AC46)</f>
        <v>0</v>
      </c>
      <c r="AD61" s="46">
        <f>SUM($F46:AD46)</f>
        <v>0</v>
      </c>
      <c r="AE61" s="46">
        <f>SUM($F46:AE46)</f>
        <v>0</v>
      </c>
      <c r="AF61" s="46">
        <f>SUM($F46:AF46)</f>
        <v>0</v>
      </c>
      <c r="AG61" s="46">
        <f>SUM($F46:AG46)</f>
        <v>0</v>
      </c>
      <c r="AH61" s="46">
        <f>SUM($F46:AH46)</f>
        <v>0</v>
      </c>
      <c r="AI61" s="46">
        <f>SUM($F46:AI46)</f>
        <v>1000000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34"/>
  <sheetViews>
    <sheetView topLeftCell="A7" workbookViewId="0">
      <selection activeCell="G15" sqref="G15"/>
    </sheetView>
  </sheetViews>
  <sheetFormatPr defaultColWidth="8.85546875" defaultRowHeight="11.25"/>
  <cols>
    <col min="1" max="1" width="8.85546875" style="46"/>
    <col min="2" max="2" width="19.7109375" style="46" customWidth="1"/>
    <col min="3" max="3" width="18.42578125" style="46" customWidth="1"/>
    <col min="4" max="4" width="18.42578125" style="125" customWidth="1"/>
    <col min="5" max="5" width="15.42578125" style="46" customWidth="1"/>
    <col min="6" max="7" width="14.28515625" style="46" customWidth="1"/>
    <col min="8" max="16384" width="8.85546875" style="46"/>
  </cols>
  <sheetData>
    <row r="1" spans="2:7">
      <c r="D1" s="125">
        <f>SUM(D8:D34)</f>
        <v>31130000</v>
      </c>
      <c r="E1" s="125">
        <f>SUM(E8:E34)</f>
        <v>31130000</v>
      </c>
    </row>
    <row r="2" spans="2:7">
      <c r="B2" s="46" t="s">
        <v>7</v>
      </c>
      <c r="C2" s="46" t="s">
        <v>8</v>
      </c>
    </row>
    <row r="3" spans="2:7">
      <c r="B3" s="46" t="s">
        <v>160</v>
      </c>
      <c r="F3" s="126"/>
      <c r="G3" s="126"/>
    </row>
    <row r="4" spans="2:7">
      <c r="B4" s="46" t="s">
        <v>161</v>
      </c>
      <c r="F4" s="126"/>
      <c r="G4" s="126"/>
    </row>
    <row r="5" spans="2:7">
      <c r="B5" s="127" t="s">
        <v>162</v>
      </c>
      <c r="C5" s="127" t="s">
        <v>138</v>
      </c>
      <c r="D5" s="128"/>
      <c r="G5" s="126"/>
    </row>
    <row r="6" spans="2:7">
      <c r="B6" s="127" t="s">
        <v>163</v>
      </c>
      <c r="C6" s="127" t="s">
        <v>164</v>
      </c>
      <c r="D6" s="128"/>
      <c r="F6" s="126"/>
      <c r="G6" s="126"/>
    </row>
    <row r="7" spans="2:7">
      <c r="B7" s="46" t="s">
        <v>165</v>
      </c>
      <c r="F7" s="126"/>
      <c r="G7" s="126"/>
    </row>
    <row r="8" spans="2:7">
      <c r="B8" s="127" t="s">
        <v>166</v>
      </c>
      <c r="C8" s="127" t="s">
        <v>167</v>
      </c>
      <c r="D8" s="128">
        <f>KPI!AL21*0.5</f>
        <v>850000</v>
      </c>
      <c r="E8" s="46">
        <v>850000</v>
      </c>
      <c r="F8" s="126"/>
      <c r="G8" s="126"/>
    </row>
    <row r="9" spans="2:7">
      <c r="B9" s="46" t="s">
        <v>168</v>
      </c>
      <c r="F9" s="126"/>
      <c r="G9" s="126"/>
    </row>
    <row r="10" spans="2:7">
      <c r="B10" s="127" t="s">
        <v>169</v>
      </c>
      <c r="C10" s="127" t="s">
        <v>101</v>
      </c>
      <c r="D10" s="128">
        <f>KPI!AL21*0.3</f>
        <v>510000</v>
      </c>
      <c r="E10" s="46">
        <v>510000</v>
      </c>
      <c r="F10" s="126"/>
      <c r="G10" s="126"/>
    </row>
    <row r="11" spans="2:7">
      <c r="B11" s="46" t="s">
        <v>170</v>
      </c>
      <c r="F11" s="126"/>
      <c r="G11" s="126"/>
    </row>
    <row r="12" spans="2:7">
      <c r="B12" s="127" t="s">
        <v>171</v>
      </c>
      <c r="C12" s="127" t="s">
        <v>172</v>
      </c>
      <c r="D12" s="128">
        <f>KPI!AL22*0.7</f>
        <v>3500000</v>
      </c>
      <c r="E12" s="46">
        <v>3500000</v>
      </c>
      <c r="F12" s="126"/>
      <c r="G12" s="126"/>
    </row>
    <row r="13" spans="2:7">
      <c r="B13" s="127" t="s">
        <v>173</v>
      </c>
      <c r="C13" s="127" t="s">
        <v>174</v>
      </c>
      <c r="D13" s="128">
        <f>KPI!AL22*0.3</f>
        <v>1500000</v>
      </c>
      <c r="E13" s="46">
        <v>1500000</v>
      </c>
      <c r="F13" s="126"/>
      <c r="G13" s="126"/>
    </row>
    <row r="14" spans="2:7">
      <c r="B14" s="46" t="s">
        <v>175</v>
      </c>
      <c r="F14" s="126"/>
      <c r="G14" s="126"/>
    </row>
    <row r="15" spans="2:7">
      <c r="B15" s="127" t="s">
        <v>176</v>
      </c>
      <c r="C15" s="127" t="s">
        <v>153</v>
      </c>
      <c r="D15" s="128">
        <f>KPI!AL21*0.2</f>
        <v>340000</v>
      </c>
      <c r="E15" s="46">
        <v>340000</v>
      </c>
      <c r="F15" s="126"/>
      <c r="G15" s="126"/>
    </row>
    <row r="16" spans="2:7">
      <c r="B16" s="46" t="s">
        <v>177</v>
      </c>
      <c r="F16" s="126"/>
      <c r="G16" s="126"/>
    </row>
    <row r="17" spans="2:7">
      <c r="B17" s="127" t="s">
        <v>178</v>
      </c>
      <c r="C17" s="127" t="s">
        <v>111</v>
      </c>
      <c r="D17" s="128">
        <f>KPI!AL31*0.1</f>
        <v>600000</v>
      </c>
      <c r="E17" s="46">
        <v>600000</v>
      </c>
      <c r="F17" s="126"/>
      <c r="G17" s="126"/>
    </row>
    <row r="18" spans="2:7">
      <c r="B18" s="127" t="s">
        <v>179</v>
      </c>
      <c r="C18" s="127" t="s">
        <v>134</v>
      </c>
      <c r="D18" s="128">
        <f>KPI!AL31*0.4</f>
        <v>2400000</v>
      </c>
      <c r="E18" s="46">
        <v>2400000</v>
      </c>
      <c r="F18" s="126"/>
      <c r="G18" s="126"/>
    </row>
    <row r="19" spans="2:7">
      <c r="B19" s="127" t="s">
        <v>180</v>
      </c>
      <c r="C19" s="127" t="s">
        <v>112</v>
      </c>
      <c r="D19" s="128">
        <f>KPI!AL31*0.5</f>
        <v>3000000</v>
      </c>
      <c r="E19" s="46">
        <v>3000000</v>
      </c>
      <c r="F19" s="126"/>
      <c r="G19" s="126"/>
    </row>
    <row r="20" spans="2:7">
      <c r="B20" s="46" t="s">
        <v>181</v>
      </c>
      <c r="F20" s="126"/>
      <c r="G20" s="126"/>
    </row>
    <row r="21" spans="2:7">
      <c r="B21" s="127" t="s">
        <v>182</v>
      </c>
      <c r="C21" s="127" t="s">
        <v>104</v>
      </c>
      <c r="D21" s="128">
        <f>KPI!AL24</f>
        <v>1000000</v>
      </c>
      <c r="E21" s="46">
        <v>1000000</v>
      </c>
      <c r="F21" s="126"/>
      <c r="G21" s="126"/>
    </row>
    <row r="22" spans="2:7">
      <c r="B22" s="46" t="s">
        <v>183</v>
      </c>
      <c r="F22" s="126"/>
      <c r="G22" s="126"/>
    </row>
    <row r="23" spans="2:7">
      <c r="B23" s="127" t="s">
        <v>184</v>
      </c>
      <c r="C23" s="127" t="s">
        <v>113</v>
      </c>
      <c r="D23" s="128">
        <f>KPI!AL33</f>
        <v>1400000</v>
      </c>
      <c r="E23" s="46">
        <v>1400000</v>
      </c>
      <c r="F23" s="126"/>
      <c r="G23" s="126"/>
    </row>
    <row r="24" spans="2:7">
      <c r="B24" s="46" t="s">
        <v>185</v>
      </c>
      <c r="F24" s="126"/>
      <c r="G24" s="126"/>
    </row>
    <row r="25" spans="2:7">
      <c r="B25" s="127" t="s">
        <v>186</v>
      </c>
      <c r="C25" s="127" t="s">
        <v>114</v>
      </c>
      <c r="D25" s="128">
        <f>KPI!AL34*0.25</f>
        <v>2350000</v>
      </c>
      <c r="E25" s="46">
        <v>2350000</v>
      </c>
      <c r="F25" s="126"/>
      <c r="G25" s="126"/>
    </row>
    <row r="26" spans="2:7">
      <c r="B26" s="127" t="s">
        <v>187</v>
      </c>
      <c r="C26" s="127" t="s">
        <v>115</v>
      </c>
      <c r="D26" s="128">
        <f>KPI!AL34*0.25</f>
        <v>2350000</v>
      </c>
      <c r="E26" s="46">
        <v>2350000</v>
      </c>
      <c r="F26" s="126"/>
      <c r="G26" s="126"/>
    </row>
    <row r="27" spans="2:7">
      <c r="B27" s="127" t="s">
        <v>188</v>
      </c>
      <c r="C27" s="127" t="s">
        <v>117</v>
      </c>
      <c r="D27" s="128">
        <f>KPI!AL34*0.25</f>
        <v>2350000</v>
      </c>
      <c r="E27" s="46">
        <v>2350000</v>
      </c>
      <c r="F27" s="126"/>
      <c r="G27" s="126"/>
    </row>
    <row r="28" spans="2:7">
      <c r="B28" s="127" t="s">
        <v>189</v>
      </c>
      <c r="C28" s="127" t="s">
        <v>116</v>
      </c>
      <c r="D28" s="128">
        <f>KPI!AL34*0.25</f>
        <v>2350000</v>
      </c>
      <c r="E28" s="46">
        <v>2350000</v>
      </c>
      <c r="F28" s="126"/>
      <c r="G28" s="126"/>
    </row>
    <row r="29" spans="2:7">
      <c r="B29" s="127" t="s">
        <v>196</v>
      </c>
      <c r="C29" s="127"/>
      <c r="D29" s="128"/>
      <c r="E29" s="126"/>
      <c r="F29" s="126"/>
      <c r="G29" s="126"/>
    </row>
    <row r="30" spans="2:7">
      <c r="B30" s="46" t="s">
        <v>197</v>
      </c>
      <c r="C30" s="46" t="s">
        <v>198</v>
      </c>
      <c r="D30" s="125">
        <f>KPI!AL35</f>
        <v>1130000</v>
      </c>
      <c r="E30" s="46">
        <v>1130000</v>
      </c>
      <c r="F30" s="126"/>
      <c r="G30" s="126"/>
    </row>
    <row r="31" spans="2:7">
      <c r="B31" s="127" t="s">
        <v>190</v>
      </c>
      <c r="C31" s="127"/>
      <c r="D31" s="128"/>
      <c r="E31" s="126"/>
      <c r="F31" s="126"/>
      <c r="G31" s="126"/>
    </row>
    <row r="32" spans="2:7">
      <c r="B32" s="46" t="s">
        <v>191</v>
      </c>
      <c r="C32" s="46" t="s">
        <v>118</v>
      </c>
      <c r="D32" s="125">
        <f>KPI!$AL$36</f>
        <v>4500000</v>
      </c>
      <c r="E32" s="46">
        <v>4500000</v>
      </c>
      <c r="F32" s="126"/>
    </row>
    <row r="33" spans="2:6">
      <c r="B33" s="127" t="s">
        <v>192</v>
      </c>
      <c r="C33" s="127"/>
      <c r="D33" s="128"/>
      <c r="E33" s="126"/>
      <c r="F33" s="126"/>
    </row>
    <row r="34" spans="2:6">
      <c r="B34" s="46" t="s">
        <v>193</v>
      </c>
      <c r="C34" s="46" t="s">
        <v>194</v>
      </c>
      <c r="D34" s="125">
        <f>KPI!$AL$37</f>
        <v>1000000</v>
      </c>
      <c r="E34" s="46">
        <v>1000000</v>
      </c>
      <c r="F34" s="1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56"/>
  <sheetViews>
    <sheetView showZeros="0" zoomScale="40" zoomScaleNormal="40" zoomScaleSheetLayoutView="55" workbookViewId="0">
      <selection activeCell="M44" sqref="M44"/>
    </sheetView>
  </sheetViews>
  <sheetFormatPr defaultColWidth="9.140625" defaultRowHeight="15"/>
  <cols>
    <col min="1" max="1" width="22.5703125" style="17" customWidth="1"/>
    <col min="2" max="13" width="7.5703125" style="17" customWidth="1"/>
    <col min="14" max="14" width="15" style="17" customWidth="1"/>
    <col min="15" max="15" width="22.5703125" style="17" customWidth="1"/>
    <col min="16" max="18" width="9.5703125" style="17" customWidth="1"/>
    <col min="19" max="22" width="7.5703125" style="17" customWidth="1"/>
    <col min="23" max="23" width="10.7109375" style="17" customWidth="1"/>
    <col min="24" max="27" width="7.5703125" style="17" customWidth="1"/>
    <col min="28" max="28" width="9.140625" style="17"/>
    <col min="29" max="29" width="25" style="17" customWidth="1"/>
    <col min="30" max="30" width="14.5703125" style="17" customWidth="1"/>
    <col min="31" max="31" width="11.85546875" style="17" bestFit="1" customWidth="1"/>
    <col min="32" max="16384" width="9.140625" style="17"/>
  </cols>
  <sheetData>
    <row r="1" spans="1:39" s="7" customFormat="1" ht="26.25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D1" s="8"/>
    </row>
    <row r="2" spans="1:39" ht="15" customHeight="1">
      <c r="AD2" s="9"/>
    </row>
    <row r="3" spans="1:39" ht="15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AC3" s="20" t="s">
        <v>13</v>
      </c>
      <c r="AD3" s="21"/>
      <c r="AE3" s="22"/>
      <c r="AF3" s="22"/>
      <c r="AG3" s="22"/>
      <c r="AH3" s="22"/>
      <c r="AI3" s="22"/>
      <c r="AJ3" s="22"/>
      <c r="AK3" s="22"/>
      <c r="AL3" s="22">
        <v>42135</v>
      </c>
      <c r="AM3" s="22"/>
    </row>
    <row r="4" spans="1:39" ht="18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AC4" s="346" t="s">
        <v>5</v>
      </c>
      <c r="AD4" s="347"/>
      <c r="AE4" s="23"/>
      <c r="AF4" s="23"/>
      <c r="AG4" s="23"/>
      <c r="AH4" s="23"/>
      <c r="AI4" s="23"/>
      <c r="AJ4" s="23"/>
      <c r="AK4" s="23"/>
      <c r="AL4" s="23">
        <v>160</v>
      </c>
      <c r="AM4" s="23"/>
    </row>
    <row r="5" spans="1:39" ht="18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AC5" s="346" t="s">
        <v>22</v>
      </c>
      <c r="AD5" s="347"/>
      <c r="AE5" s="23"/>
      <c r="AF5" s="23"/>
      <c r="AG5" s="23"/>
      <c r="AH5" s="23"/>
      <c r="AI5" s="23"/>
      <c r="AJ5" s="23"/>
      <c r="AK5" s="23"/>
      <c r="AL5" s="23">
        <f>AL4-AL6</f>
        <v>39</v>
      </c>
      <c r="AM5" s="23"/>
    </row>
    <row r="6" spans="1:39" ht="39.6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AC6" s="346" t="s">
        <v>6</v>
      </c>
      <c r="AD6" s="347"/>
      <c r="AE6" s="23"/>
      <c r="AF6" s="23"/>
      <c r="AG6" s="23"/>
      <c r="AH6" s="23"/>
      <c r="AI6" s="23"/>
      <c r="AJ6" s="23"/>
      <c r="AK6" s="23"/>
      <c r="AL6" s="23">
        <v>121</v>
      </c>
      <c r="AM6" s="23"/>
    </row>
    <row r="7" spans="1:39" ht="39.6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39.6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AC8" s="20" t="s">
        <v>18</v>
      </c>
      <c r="AD8" s="21"/>
      <c r="AE8" s="22"/>
      <c r="AF8" s="22"/>
      <c r="AG8" s="22"/>
      <c r="AH8" s="22"/>
      <c r="AI8" s="22"/>
      <c r="AJ8" s="22"/>
      <c r="AK8" s="22"/>
      <c r="AL8" s="22">
        <f>AL3</f>
        <v>42135</v>
      </c>
      <c r="AM8" s="22"/>
    </row>
    <row r="9" spans="1:39" ht="18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AC9" s="346" t="s">
        <v>5</v>
      </c>
      <c r="AD9" s="347"/>
      <c r="AE9" s="23"/>
      <c r="AF9" s="23"/>
      <c r="AG9" s="23"/>
      <c r="AH9" s="23"/>
      <c r="AI9" s="23"/>
      <c r="AJ9" s="23"/>
      <c r="AK9" s="23"/>
      <c r="AL9" s="23">
        <v>282</v>
      </c>
      <c r="AM9" s="23"/>
    </row>
    <row r="10" spans="1:39" ht="18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AC10" s="346" t="s">
        <v>22</v>
      </c>
      <c r="AD10" s="347"/>
      <c r="AE10" s="23"/>
      <c r="AF10" s="23"/>
      <c r="AG10" s="23"/>
      <c r="AH10" s="23"/>
      <c r="AI10" s="23"/>
      <c r="AJ10" s="23"/>
      <c r="AK10" s="23"/>
      <c r="AL10" s="23">
        <f>AL9-AL11</f>
        <v>75</v>
      </c>
      <c r="AM10" s="23"/>
    </row>
    <row r="11" spans="1:39" ht="18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AC11" s="346" t="s">
        <v>6</v>
      </c>
      <c r="AD11" s="347"/>
      <c r="AE11" s="23"/>
      <c r="AF11" s="23"/>
      <c r="AG11" s="23"/>
      <c r="AH11" s="23"/>
      <c r="AI11" s="23"/>
      <c r="AJ11" s="23"/>
      <c r="AK11" s="23"/>
      <c r="AL11" s="23">
        <v>207</v>
      </c>
      <c r="AM11" s="23"/>
    </row>
    <row r="12" spans="1:39" ht="1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</row>
    <row r="13" spans="1:39" ht="1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</row>
    <row r="14" spans="1:39" ht="15.7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AC14" s="24" t="s">
        <v>13</v>
      </c>
      <c r="AD14" s="52"/>
      <c r="AE14" s="52"/>
    </row>
    <row r="15" spans="1:39" ht="15.7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AC15" s="68">
        <f>AD15</f>
        <v>160</v>
      </c>
      <c r="AD15" s="53">
        <f>AL4</f>
        <v>160</v>
      </c>
      <c r="AE15" s="54"/>
    </row>
    <row r="16" spans="1:39" ht="15.7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AC16" s="25">
        <f>AD16</f>
        <v>39</v>
      </c>
      <c r="AD16" s="53">
        <f>AL5</f>
        <v>39</v>
      </c>
      <c r="AE16" s="70">
        <f>AD16/AD$15</f>
        <v>0.24374999999999999</v>
      </c>
    </row>
    <row r="17" spans="1:31" ht="15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AC17" s="26">
        <f>AD17</f>
        <v>121</v>
      </c>
      <c r="AD17" s="53">
        <f>AL6</f>
        <v>121</v>
      </c>
      <c r="AE17" s="70">
        <f>AD17/AD$15</f>
        <v>0.75624999999999998</v>
      </c>
    </row>
    <row r="18" spans="1:31" ht="15.6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AD18" s="12"/>
      <c r="AE18" s="71"/>
    </row>
    <row r="19" spans="1:31" ht="1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AD19" s="12"/>
      <c r="AE19" s="71"/>
    </row>
    <row r="20" spans="1:31" ht="1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AD20" s="12"/>
      <c r="AE20" s="71"/>
    </row>
    <row r="21" spans="1:31" ht="15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AC21" s="24" t="s">
        <v>18</v>
      </c>
      <c r="AD21" s="55"/>
      <c r="AE21" s="72"/>
    </row>
    <row r="22" spans="1:31" ht="15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AC22" s="69">
        <f>AD22</f>
        <v>282</v>
      </c>
      <c r="AD22" s="53">
        <f>AL9</f>
        <v>282</v>
      </c>
      <c r="AE22" s="70"/>
    </row>
    <row r="23" spans="1:31" s="7" customFormat="1" ht="23.2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5">
        <f>AD23</f>
        <v>75</v>
      </c>
      <c r="AD23" s="53">
        <f>AL10</f>
        <v>75</v>
      </c>
      <c r="AE23" s="70">
        <f>AD23/AD$22</f>
        <v>0.26595744680851063</v>
      </c>
    </row>
    <row r="24" spans="1:31" ht="18.7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AC24" s="26">
        <f>AD24</f>
        <v>207</v>
      </c>
      <c r="AD24" s="53">
        <f>AL11</f>
        <v>207</v>
      </c>
      <c r="AE24" s="70">
        <f>AD24/AD$22</f>
        <v>0.73404255319148937</v>
      </c>
    </row>
    <row r="25" spans="1:31" ht="21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AC25" s="7"/>
      <c r="AD25" s="7"/>
      <c r="AE25" s="73"/>
    </row>
    <row r="26" spans="1:31" ht="27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AB26" s="7"/>
    </row>
    <row r="27" spans="1:31" ht="14.4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</row>
    <row r="28" spans="1:31" ht="14.4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31" ht="18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31" ht="18.7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1:31" ht="14.4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</row>
    <row r="32" spans="1:31" ht="15" customHeight="1" thickBo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</row>
    <row r="33" spans="1:34" ht="33" customHeight="1" thickBo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AA33" s="351" t="s">
        <v>15</v>
      </c>
      <c r="AB33" s="352"/>
      <c r="AC33" s="352"/>
      <c r="AD33" s="352"/>
      <c r="AE33" s="352"/>
      <c r="AF33" s="352"/>
      <c r="AG33" s="352"/>
      <c r="AH33" s="353"/>
    </row>
    <row r="34" spans="1:34" ht="24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AA34" s="348" t="s">
        <v>23</v>
      </c>
      <c r="AB34" s="349"/>
      <c r="AC34" s="349"/>
      <c r="AD34" s="349"/>
      <c r="AE34" s="350"/>
      <c r="AF34" s="219">
        <v>1422500</v>
      </c>
      <c r="AG34" s="349"/>
      <c r="AH34" s="354"/>
    </row>
    <row r="35" spans="1:34" ht="24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AA35" s="355" t="s">
        <v>16</v>
      </c>
      <c r="AB35" s="356"/>
      <c r="AC35" s="356"/>
      <c r="AD35" s="356"/>
      <c r="AE35" s="357"/>
      <c r="AF35" s="359">
        <v>0.14000000000000001</v>
      </c>
      <c r="AG35" s="360"/>
      <c r="AH35" s="361"/>
    </row>
    <row r="36" spans="1:34" ht="24" customHeight="1" thickBo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AA36" s="340" t="s">
        <v>17</v>
      </c>
      <c r="AB36" s="341"/>
      <c r="AC36" s="341"/>
      <c r="AD36" s="341"/>
      <c r="AE36" s="342"/>
      <c r="AF36" s="343" t="s">
        <v>99</v>
      </c>
      <c r="AG36" s="344"/>
      <c r="AH36" s="345"/>
    </row>
    <row r="37" spans="1:34" ht="15.7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</row>
    <row r="38" spans="1:34" ht="15.7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34" ht="15.75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34" ht="14.4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</row>
    <row r="41" spans="1:34" ht="14.4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34" ht="14.4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1:34" ht="14.4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34" ht="24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</row>
    <row r="45" spans="1:34" ht="18.7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34" ht="18.7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1:34" ht="18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34" ht="14.4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</row>
    <row r="49" spans="1:18" ht="14.4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18" ht="14.4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</row>
    <row r="51" spans="1:18" ht="14.4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18" ht="14.4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18" ht="14.4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18" ht="14.4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18" ht="14.4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18" ht="14.4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</row>
  </sheetData>
  <sheetProtection formatCells="0"/>
  <mergeCells count="14">
    <mergeCell ref="A1:AA1"/>
    <mergeCell ref="AF35:AH35"/>
    <mergeCell ref="AC4:AD4"/>
    <mergeCell ref="AC9:AD9"/>
    <mergeCell ref="AC5:AD5"/>
    <mergeCell ref="AC10:AD10"/>
    <mergeCell ref="AA36:AE36"/>
    <mergeCell ref="AF36:AH36"/>
    <mergeCell ref="AC6:AD6"/>
    <mergeCell ref="AC11:AD11"/>
    <mergeCell ref="AA34:AE34"/>
    <mergeCell ref="AA33:AH33"/>
    <mergeCell ref="AF34:AH34"/>
    <mergeCell ref="AA35:AE35"/>
  </mergeCells>
  <printOptions horizontalCentered="1"/>
  <pageMargins left="0.5" right="0.5" top="0.5" bottom="0.5" header="0.3" footer="0.25"/>
  <pageSetup paperSize="8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BQ4"/>
  <sheetViews>
    <sheetView workbookViewId="0">
      <pane xSplit="2" ySplit="4" topLeftCell="C5" activePane="bottomRight" state="frozenSplit"/>
      <selection activeCell="A5" sqref="A5:XFD5"/>
      <selection pane="topRight" activeCell="C1" sqref="C1"/>
      <selection pane="bottomLeft" activeCell="A6" sqref="A6"/>
      <selection pane="bottomRight" activeCell="AD22" sqref="AD22"/>
    </sheetView>
  </sheetViews>
  <sheetFormatPr defaultColWidth="9.140625" defaultRowHeight="11.25"/>
  <cols>
    <col min="1" max="1" width="2" style="46" customWidth="1"/>
    <col min="2" max="2" width="17.5703125" style="46" customWidth="1"/>
    <col min="3" max="69" width="3.7109375" style="46" customWidth="1"/>
    <col min="70" max="16384" width="9.140625" style="46"/>
  </cols>
  <sheetData>
    <row r="1" spans="2:69">
      <c r="C1" s="46" t="s">
        <v>40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46" t="s">
        <v>50</v>
      </c>
      <c r="M1" s="46" t="s">
        <v>51</v>
      </c>
      <c r="N1" s="46" t="s">
        <v>52</v>
      </c>
      <c r="O1" s="46" t="s">
        <v>53</v>
      </c>
      <c r="P1" s="46" t="s">
        <v>54</v>
      </c>
      <c r="Q1" s="46" t="s">
        <v>55</v>
      </c>
      <c r="R1" s="46" t="s">
        <v>56</v>
      </c>
      <c r="S1" s="46" t="s">
        <v>57</v>
      </c>
      <c r="T1" s="46" t="s">
        <v>58</v>
      </c>
      <c r="U1" s="46" t="s">
        <v>59</v>
      </c>
      <c r="V1" s="46" t="s">
        <v>60</v>
      </c>
      <c r="W1" s="46" t="s">
        <v>61</v>
      </c>
      <c r="X1" s="46" t="s">
        <v>62</v>
      </c>
      <c r="Y1" s="46" t="s">
        <v>63</v>
      </c>
      <c r="Z1" s="46" t="s">
        <v>64</v>
      </c>
      <c r="AA1" s="46" t="s">
        <v>65</v>
      </c>
      <c r="AB1" s="46" t="s">
        <v>66</v>
      </c>
      <c r="AC1" s="46" t="s">
        <v>67</v>
      </c>
      <c r="AD1" s="46" t="s">
        <v>68</v>
      </c>
      <c r="AE1" s="46" t="s">
        <v>69</v>
      </c>
      <c r="AF1" s="46" t="s">
        <v>70</v>
      </c>
      <c r="AG1" s="46" t="s">
        <v>71</v>
      </c>
      <c r="AH1" s="46" t="s">
        <v>72</v>
      </c>
      <c r="AI1" s="46" t="s">
        <v>73</v>
      </c>
      <c r="AJ1" s="46" t="s">
        <v>74</v>
      </c>
      <c r="AK1" s="46" t="s">
        <v>75</v>
      </c>
      <c r="AL1" s="46" t="s">
        <v>76</v>
      </c>
      <c r="AM1" s="46" t="s">
        <v>77</v>
      </c>
      <c r="AN1" s="46" t="s">
        <v>78</v>
      </c>
      <c r="AO1" s="46" t="s">
        <v>79</v>
      </c>
      <c r="AP1" s="46" t="s">
        <v>80</v>
      </c>
      <c r="AQ1" s="46" t="s">
        <v>81</v>
      </c>
      <c r="AR1" s="46" t="s">
        <v>82</v>
      </c>
      <c r="AS1" s="46" t="s">
        <v>83</v>
      </c>
      <c r="AT1" s="46" t="s">
        <v>84</v>
      </c>
      <c r="AU1" s="46" t="s">
        <v>85</v>
      </c>
      <c r="AV1" s="46" t="s">
        <v>86</v>
      </c>
      <c r="AW1" s="46" t="s">
        <v>87</v>
      </c>
      <c r="AX1" s="46" t="s">
        <v>88</v>
      </c>
      <c r="AY1" s="46" t="s">
        <v>89</v>
      </c>
      <c r="AZ1" s="46" t="s">
        <v>90</v>
      </c>
      <c r="BA1" s="46" t="s">
        <v>91</v>
      </c>
      <c r="BB1" s="46" t="s">
        <v>92</v>
      </c>
      <c r="BC1" s="46" t="s">
        <v>93</v>
      </c>
      <c r="BD1" s="46" t="s">
        <v>94</v>
      </c>
    </row>
    <row r="2" spans="2:69" ht="65.25" customHeight="1">
      <c r="B2" s="46" t="s">
        <v>41</v>
      </c>
      <c r="C2" s="47">
        <f>KPI!$I$4</f>
        <v>42767</v>
      </c>
      <c r="D2" s="47">
        <f t="shared" ref="D2:BD2" si="0">C2+7</f>
        <v>42774</v>
      </c>
      <c r="E2" s="47">
        <f t="shared" si="0"/>
        <v>42781</v>
      </c>
      <c r="F2" s="47">
        <f t="shared" si="0"/>
        <v>42788</v>
      </c>
      <c r="G2" s="47">
        <f t="shared" si="0"/>
        <v>42795</v>
      </c>
      <c r="H2" s="47">
        <f t="shared" si="0"/>
        <v>42802</v>
      </c>
      <c r="I2" s="47">
        <f t="shared" si="0"/>
        <v>42809</v>
      </c>
      <c r="J2" s="47">
        <f t="shared" si="0"/>
        <v>42816</v>
      </c>
      <c r="K2" s="47">
        <f t="shared" si="0"/>
        <v>42823</v>
      </c>
      <c r="L2" s="47">
        <f t="shared" si="0"/>
        <v>42830</v>
      </c>
      <c r="M2" s="47">
        <f t="shared" si="0"/>
        <v>42837</v>
      </c>
      <c r="N2" s="47">
        <f t="shared" si="0"/>
        <v>42844</v>
      </c>
      <c r="O2" s="47">
        <f t="shared" si="0"/>
        <v>42851</v>
      </c>
      <c r="P2" s="47">
        <f t="shared" si="0"/>
        <v>42858</v>
      </c>
      <c r="Q2" s="47">
        <f t="shared" si="0"/>
        <v>42865</v>
      </c>
      <c r="R2" s="47">
        <f t="shared" si="0"/>
        <v>42872</v>
      </c>
      <c r="S2" s="47">
        <f t="shared" si="0"/>
        <v>42879</v>
      </c>
      <c r="T2" s="47">
        <f t="shared" si="0"/>
        <v>42886</v>
      </c>
      <c r="U2" s="47">
        <f t="shared" si="0"/>
        <v>42893</v>
      </c>
      <c r="V2" s="47">
        <f t="shared" si="0"/>
        <v>42900</v>
      </c>
      <c r="W2" s="47">
        <f t="shared" si="0"/>
        <v>42907</v>
      </c>
      <c r="X2" s="47">
        <f t="shared" si="0"/>
        <v>42914</v>
      </c>
      <c r="Y2" s="47">
        <f t="shared" si="0"/>
        <v>42921</v>
      </c>
      <c r="Z2" s="47">
        <f t="shared" si="0"/>
        <v>42928</v>
      </c>
      <c r="AA2" s="47">
        <f t="shared" si="0"/>
        <v>42935</v>
      </c>
      <c r="AB2" s="47">
        <f t="shared" si="0"/>
        <v>42942</v>
      </c>
      <c r="AC2" s="47">
        <f t="shared" si="0"/>
        <v>42949</v>
      </c>
      <c r="AD2" s="47">
        <f t="shared" si="0"/>
        <v>42956</v>
      </c>
      <c r="AE2" s="47">
        <f t="shared" si="0"/>
        <v>42963</v>
      </c>
      <c r="AF2" s="47">
        <f t="shared" si="0"/>
        <v>42970</v>
      </c>
      <c r="AG2" s="47">
        <f t="shared" si="0"/>
        <v>42977</v>
      </c>
      <c r="AH2" s="47">
        <f t="shared" si="0"/>
        <v>42984</v>
      </c>
      <c r="AI2" s="47">
        <f t="shared" si="0"/>
        <v>42991</v>
      </c>
      <c r="AJ2" s="47">
        <f t="shared" si="0"/>
        <v>42998</v>
      </c>
      <c r="AK2" s="47">
        <f t="shared" si="0"/>
        <v>43005</v>
      </c>
      <c r="AL2" s="47">
        <f t="shared" si="0"/>
        <v>43012</v>
      </c>
      <c r="AM2" s="47">
        <f t="shared" si="0"/>
        <v>43019</v>
      </c>
      <c r="AN2" s="47">
        <f t="shared" si="0"/>
        <v>43026</v>
      </c>
      <c r="AO2" s="47">
        <f t="shared" si="0"/>
        <v>43033</v>
      </c>
      <c r="AP2" s="47">
        <f t="shared" si="0"/>
        <v>43040</v>
      </c>
      <c r="AQ2" s="47">
        <f t="shared" si="0"/>
        <v>43047</v>
      </c>
      <c r="AR2" s="47">
        <f t="shared" si="0"/>
        <v>43054</v>
      </c>
      <c r="AS2" s="47">
        <f t="shared" si="0"/>
        <v>43061</v>
      </c>
      <c r="AT2" s="47">
        <f t="shared" si="0"/>
        <v>43068</v>
      </c>
      <c r="AU2" s="47">
        <f t="shared" si="0"/>
        <v>43075</v>
      </c>
      <c r="AV2" s="47">
        <f t="shared" si="0"/>
        <v>43082</v>
      </c>
      <c r="AW2" s="47">
        <f t="shared" si="0"/>
        <v>43089</v>
      </c>
      <c r="AX2" s="47">
        <f t="shared" si="0"/>
        <v>43096</v>
      </c>
      <c r="AY2" s="47">
        <f t="shared" si="0"/>
        <v>43103</v>
      </c>
      <c r="AZ2" s="47">
        <f t="shared" si="0"/>
        <v>43110</v>
      </c>
      <c r="BA2" s="47">
        <f t="shared" si="0"/>
        <v>43117</v>
      </c>
      <c r="BB2" s="47">
        <f t="shared" si="0"/>
        <v>43124</v>
      </c>
      <c r="BC2" s="47">
        <f t="shared" si="0"/>
        <v>43131</v>
      </c>
      <c r="BD2" s="47">
        <f t="shared" si="0"/>
        <v>43138</v>
      </c>
      <c r="BE2" s="47">
        <f t="shared" ref="BE2:BQ2" si="1">BD2+7</f>
        <v>43145</v>
      </c>
      <c r="BF2" s="47">
        <f t="shared" si="1"/>
        <v>43152</v>
      </c>
      <c r="BG2" s="47">
        <f t="shared" si="1"/>
        <v>43159</v>
      </c>
      <c r="BH2" s="47">
        <f t="shared" si="1"/>
        <v>43166</v>
      </c>
      <c r="BI2" s="47">
        <f t="shared" si="1"/>
        <v>43173</v>
      </c>
      <c r="BJ2" s="47">
        <f t="shared" si="1"/>
        <v>43180</v>
      </c>
      <c r="BK2" s="47">
        <f t="shared" si="1"/>
        <v>43187</v>
      </c>
      <c r="BL2" s="47">
        <f t="shared" si="1"/>
        <v>43194</v>
      </c>
      <c r="BM2" s="47">
        <f t="shared" si="1"/>
        <v>43201</v>
      </c>
      <c r="BN2" s="47">
        <f t="shared" si="1"/>
        <v>43208</v>
      </c>
      <c r="BO2" s="47">
        <f t="shared" si="1"/>
        <v>43215</v>
      </c>
      <c r="BP2" s="47">
        <f t="shared" si="1"/>
        <v>43222</v>
      </c>
      <c r="BQ2" s="47">
        <f t="shared" si="1"/>
        <v>43229</v>
      </c>
    </row>
    <row r="3" spans="2:69" s="51" customFormat="1" ht="18.75">
      <c r="B3" s="48" t="s">
        <v>11</v>
      </c>
      <c r="C3" s="51">
        <v>22</v>
      </c>
      <c r="D3" s="51">
        <v>22</v>
      </c>
      <c r="E3" s="51">
        <v>25</v>
      </c>
      <c r="F3" s="51">
        <v>25</v>
      </c>
      <c r="G3" s="51">
        <v>25</v>
      </c>
      <c r="H3" s="51">
        <v>25</v>
      </c>
      <c r="I3" s="51">
        <v>29</v>
      </c>
      <c r="J3" s="51">
        <v>29</v>
      </c>
      <c r="K3" s="51">
        <v>29</v>
      </c>
      <c r="L3" s="51">
        <v>29</v>
      </c>
      <c r="M3" s="51">
        <v>29</v>
      </c>
      <c r="N3" s="51">
        <v>39</v>
      </c>
      <c r="O3" s="51">
        <v>39</v>
      </c>
      <c r="P3" s="51">
        <v>39</v>
      </c>
      <c r="Q3" s="51">
        <v>39</v>
      </c>
      <c r="R3" s="51">
        <v>51</v>
      </c>
      <c r="S3" s="51">
        <v>51</v>
      </c>
      <c r="T3" s="51">
        <v>51</v>
      </c>
      <c r="U3" s="51">
        <v>51</v>
      </c>
      <c r="V3" s="51">
        <v>51</v>
      </c>
      <c r="W3" s="51">
        <v>74</v>
      </c>
      <c r="X3" s="51">
        <v>74</v>
      </c>
      <c r="Y3" s="51">
        <v>74</v>
      </c>
      <c r="Z3" s="51">
        <v>74</v>
      </c>
      <c r="AA3" s="51">
        <v>104</v>
      </c>
      <c r="AB3" s="51">
        <v>104</v>
      </c>
      <c r="AC3" s="51">
        <v>104</v>
      </c>
      <c r="AD3" s="51">
        <v>104</v>
      </c>
      <c r="AE3" s="51">
        <v>94</v>
      </c>
      <c r="AF3" s="51">
        <v>94</v>
      </c>
      <c r="AG3" s="51">
        <v>94</v>
      </c>
      <c r="AH3" s="51">
        <v>94</v>
      </c>
      <c r="AI3" s="51">
        <v>94</v>
      </c>
      <c r="AJ3" s="51">
        <v>61</v>
      </c>
      <c r="AK3" s="51">
        <v>61</v>
      </c>
      <c r="AL3" s="51">
        <v>61</v>
      </c>
      <c r="AM3" s="51">
        <v>61</v>
      </c>
      <c r="AN3" s="51">
        <v>44</v>
      </c>
      <c r="AO3" s="51">
        <v>44</v>
      </c>
      <c r="AP3" s="51">
        <v>44</v>
      </c>
      <c r="AQ3" s="51">
        <v>44</v>
      </c>
    </row>
    <row r="4" spans="2:69" s="50" customFormat="1" ht="35.25" customHeight="1">
      <c r="B4" s="49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R4" s="50">
        <v>10</v>
      </c>
      <c r="S4" s="50">
        <v>10</v>
      </c>
      <c r="T4" s="50">
        <v>10</v>
      </c>
      <c r="U4" s="50">
        <v>10</v>
      </c>
      <c r="V4" s="50">
        <v>10</v>
      </c>
      <c r="W4" s="50">
        <v>25</v>
      </c>
      <c r="X4" s="50">
        <v>25</v>
      </c>
      <c r="Y4" s="50">
        <v>25</v>
      </c>
      <c r="Z4" s="50">
        <v>25</v>
      </c>
      <c r="AA4" s="50">
        <v>125</v>
      </c>
      <c r="AB4" s="50">
        <v>125</v>
      </c>
      <c r="AC4" s="50">
        <v>125</v>
      </c>
      <c r="AD4" s="50">
        <v>125</v>
      </c>
      <c r="AE4" s="50">
        <v>175</v>
      </c>
      <c r="AF4" s="50">
        <v>175</v>
      </c>
      <c r="AG4" s="50">
        <v>175</v>
      </c>
      <c r="AH4" s="50">
        <v>175</v>
      </c>
      <c r="AI4" s="50">
        <v>175</v>
      </c>
      <c r="AJ4" s="50">
        <v>499</v>
      </c>
      <c r="AK4" s="50">
        <v>499</v>
      </c>
      <c r="AL4" s="50">
        <v>499</v>
      </c>
      <c r="AM4" s="50">
        <v>499</v>
      </c>
      <c r="AN4" s="50">
        <v>945</v>
      </c>
      <c r="AO4" s="51">
        <v>945</v>
      </c>
      <c r="AP4" s="51">
        <v>945</v>
      </c>
      <c r="AQ4" s="51">
        <v>945</v>
      </c>
      <c r="AR4" s="51">
        <v>960</v>
      </c>
      <c r="AS4" s="51">
        <v>960</v>
      </c>
      <c r="AT4" s="51">
        <v>960</v>
      </c>
      <c r="AU4" s="51">
        <v>960</v>
      </c>
      <c r="AV4" s="50">
        <v>947</v>
      </c>
      <c r="AW4" s="50">
        <v>907</v>
      </c>
      <c r="AX4" s="50">
        <v>853</v>
      </c>
      <c r="AY4" s="50">
        <v>716</v>
      </c>
      <c r="AZ4" s="50">
        <v>527</v>
      </c>
      <c r="BA4" s="50">
        <v>416</v>
      </c>
      <c r="BB4" s="50">
        <v>346</v>
      </c>
      <c r="BC4" s="50">
        <v>251</v>
      </c>
      <c r="BD4" s="50">
        <v>203</v>
      </c>
      <c r="BE4" s="50">
        <v>175</v>
      </c>
      <c r="BF4" s="50">
        <v>159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4"/>
  <sheetViews>
    <sheetView workbookViewId="0">
      <selection activeCell="B17" sqref="B17"/>
    </sheetView>
  </sheetViews>
  <sheetFormatPr defaultColWidth="8.85546875" defaultRowHeight="15"/>
  <cols>
    <col min="1" max="1" width="8.85546875" style="1"/>
    <col min="2" max="2" width="32.5703125" style="1" customWidth="1"/>
    <col min="3" max="3" width="9.85546875" style="87" bestFit="1" customWidth="1"/>
    <col min="4" max="4" width="8.85546875" style="78"/>
    <col min="5" max="6" width="8.85546875" style="1"/>
    <col min="7" max="7" width="32.5703125" style="1" customWidth="1"/>
    <col min="8" max="8" width="9.85546875" style="87" bestFit="1" customWidth="1"/>
    <col min="9" max="9" width="8.85546875" style="78"/>
    <col min="10" max="16384" width="8.85546875" style="1"/>
  </cols>
  <sheetData>
    <row r="1" spans="2:9" s="19" customFormat="1">
      <c r="B1" s="362" t="s">
        <v>147</v>
      </c>
      <c r="C1" s="363"/>
      <c r="D1" s="362" t="s">
        <v>149</v>
      </c>
      <c r="G1" s="362" t="s">
        <v>147</v>
      </c>
      <c r="H1" s="363" t="s">
        <v>148</v>
      </c>
      <c r="I1" s="362" t="s">
        <v>149</v>
      </c>
    </row>
    <row r="2" spans="2:9" s="19" customFormat="1">
      <c r="B2" s="362"/>
      <c r="C2" s="363" t="s">
        <v>148</v>
      </c>
      <c r="D2" s="362"/>
      <c r="G2" s="362"/>
      <c r="H2" s="363"/>
      <c r="I2" s="362"/>
    </row>
    <row r="3" spans="2:9">
      <c r="B3" s="1" t="s">
        <v>138</v>
      </c>
      <c r="C3" s="87">
        <v>42767</v>
      </c>
      <c r="G3" s="1" t="s">
        <v>138</v>
      </c>
      <c r="H3" s="87">
        <v>42767</v>
      </c>
    </row>
    <row r="4" spans="2:9">
      <c r="B4" s="1" t="s">
        <v>150</v>
      </c>
      <c r="C4" s="87">
        <v>43677</v>
      </c>
      <c r="G4" s="1" t="s">
        <v>150</v>
      </c>
      <c r="H4" s="87">
        <v>43677</v>
      </c>
    </row>
    <row r="5" spans="2:9">
      <c r="B5" s="1" t="s">
        <v>139</v>
      </c>
      <c r="C5" s="87">
        <v>43131</v>
      </c>
      <c r="G5" s="1" t="s">
        <v>140</v>
      </c>
      <c r="H5" s="87">
        <v>43646</v>
      </c>
    </row>
    <row r="6" spans="2:9">
      <c r="B6" s="1" t="s">
        <v>140</v>
      </c>
      <c r="C6" s="87">
        <v>43646</v>
      </c>
      <c r="G6" s="1" t="s">
        <v>141</v>
      </c>
      <c r="H6" s="87">
        <v>43312</v>
      </c>
    </row>
    <row r="7" spans="2:9">
      <c r="B7" s="1" t="s">
        <v>141</v>
      </c>
      <c r="C7" s="87">
        <v>43312</v>
      </c>
      <c r="G7" s="1" t="s">
        <v>144</v>
      </c>
      <c r="H7" s="87">
        <v>43660</v>
      </c>
    </row>
    <row r="8" spans="2:9">
      <c r="B8" s="1" t="s">
        <v>142</v>
      </c>
      <c r="C8" s="87">
        <v>43610</v>
      </c>
      <c r="G8" s="1" t="s">
        <v>145</v>
      </c>
      <c r="H8" s="87">
        <v>43670</v>
      </c>
    </row>
    <row r="9" spans="2:9">
      <c r="B9" s="1" t="s">
        <v>143</v>
      </c>
      <c r="C9" s="87">
        <v>43639</v>
      </c>
      <c r="G9" s="1" t="s">
        <v>146</v>
      </c>
      <c r="H9" s="87">
        <v>43677</v>
      </c>
    </row>
    <row r="10" spans="2:9">
      <c r="B10" s="1" t="s">
        <v>144</v>
      </c>
      <c r="C10" s="87">
        <v>43660</v>
      </c>
      <c r="H10" s="1"/>
    </row>
    <row r="11" spans="2:9">
      <c r="B11" s="1" t="s">
        <v>145</v>
      </c>
      <c r="C11" s="87">
        <v>43670</v>
      </c>
      <c r="H11" s="1"/>
    </row>
    <row r="12" spans="2:9">
      <c r="B12" s="1" t="s">
        <v>146</v>
      </c>
      <c r="C12" s="87">
        <v>43677</v>
      </c>
      <c r="H12" s="1"/>
    </row>
    <row r="24" spans="3:8">
      <c r="C24" s="78"/>
      <c r="H24" s="78"/>
    </row>
  </sheetData>
  <mergeCells count="6">
    <mergeCell ref="G1:G2"/>
    <mergeCell ref="H1:H2"/>
    <mergeCell ref="I1:I2"/>
    <mergeCell ref="D1:D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KPI</vt:lpstr>
      <vt:lpstr>Actual</vt:lpstr>
      <vt:lpstr>Baseline</vt:lpstr>
      <vt:lpstr>Level1</vt:lpstr>
      <vt:lpstr>Cost Assignment</vt:lpstr>
      <vt:lpstr>HSE&amp;Quality</vt:lpstr>
      <vt:lpstr>Manpower Curve</vt:lpstr>
      <vt:lpstr>Milestones</vt:lpstr>
      <vt:lpstr>'HSE&amp;Quality'!Print_Area</vt:lpstr>
      <vt:lpstr>KPI!Print_Area</vt:lpstr>
    </vt:vector>
  </TitlesOfParts>
  <Company>Parsons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Saleh</dc:creator>
  <cp:lastModifiedBy>Prasanna Weerasundara</cp:lastModifiedBy>
  <cp:lastPrinted>2017-06-23T04:19:59Z</cp:lastPrinted>
  <dcterms:created xsi:type="dcterms:W3CDTF">2011-09-18T07:33:21Z</dcterms:created>
  <dcterms:modified xsi:type="dcterms:W3CDTF">2017-06-30T08:07:50Z</dcterms:modified>
</cp:coreProperties>
</file>